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6795" activeTab="2"/>
  </bookViews>
  <sheets>
    <sheet name="SUBV2007" sheetId="1" r:id="rId1"/>
    <sheet name="SUBV2006" sheetId="2" r:id="rId2"/>
    <sheet name="SubvCF2002" sheetId="3" r:id="rId3"/>
  </sheets>
  <definedNames/>
  <calcPr fullCalcOnLoad="1"/>
</workbook>
</file>

<file path=xl/sharedStrings.xml><?xml version="1.0" encoding="utf-8"?>
<sst xmlns="http://schemas.openxmlformats.org/spreadsheetml/2006/main" count="695" uniqueCount="326">
  <si>
    <t>année d'origine</t>
  </si>
  <si>
    <t>reliquat</t>
  </si>
  <si>
    <t>Rectorat</t>
  </si>
  <si>
    <t>Montant Notifié</t>
  </si>
  <si>
    <t>imputation</t>
  </si>
  <si>
    <t>reliquat ex ant</t>
  </si>
  <si>
    <t>Fonds reçus</t>
  </si>
  <si>
    <t>I.A.</t>
  </si>
  <si>
    <t>stages en entreprises</t>
  </si>
  <si>
    <t>Disponible</t>
  </si>
  <si>
    <t>SIEC</t>
  </si>
  <si>
    <t>fonds de vie lycéen</t>
  </si>
  <si>
    <t>crédit animation</t>
  </si>
  <si>
    <t>Fonds social lycéen</t>
  </si>
  <si>
    <t>Fonds social cantines</t>
  </si>
  <si>
    <t>logiciels Tertiaire STT</t>
  </si>
  <si>
    <t>logiciels multimédias</t>
  </si>
  <si>
    <t>Réalisation maquette sys scolaire</t>
  </si>
  <si>
    <t>Classe Musée</t>
  </si>
  <si>
    <t>Découverte Alsace</t>
  </si>
  <si>
    <t>Culture scientif et techn</t>
  </si>
  <si>
    <t>Atelier scient et technique</t>
  </si>
  <si>
    <t>Comité Educat Santé Citoyenneté</t>
  </si>
  <si>
    <t>Reliq Subv  Conseillères ESF</t>
  </si>
  <si>
    <t>reliq subv Voyages et cinéma</t>
  </si>
  <si>
    <t>Subv OFAJ</t>
  </si>
  <si>
    <t>OFAJ</t>
  </si>
  <si>
    <t>Région</t>
  </si>
  <si>
    <t>dotation équipement</t>
  </si>
  <si>
    <t>subv sécurité matériels ateliers</t>
  </si>
  <si>
    <t>Aide régionnale demi-pension</t>
  </si>
  <si>
    <t>Département</t>
  </si>
  <si>
    <t>Subv FCSH</t>
  </si>
  <si>
    <t>Politique documentaire CDI</t>
  </si>
  <si>
    <t>Taxe apprentissage</t>
  </si>
  <si>
    <t>Div entreprises</t>
  </si>
  <si>
    <t>Subv ONILAIT</t>
  </si>
  <si>
    <t>Uv jury baccalauréat</t>
  </si>
  <si>
    <t>Caisse solidarité</t>
  </si>
  <si>
    <t>Subv CNASEA</t>
  </si>
  <si>
    <t>reliquat part familles voyage en Russie</t>
  </si>
  <si>
    <t>familles</t>
  </si>
  <si>
    <t>reliq Ecole ouverte</t>
  </si>
  <si>
    <t>Origine</t>
  </si>
  <si>
    <t>libellé</t>
  </si>
  <si>
    <t>Total 44118</t>
  </si>
  <si>
    <t>Total 44128</t>
  </si>
  <si>
    <t>Subv fonct rénov prog phys/chimie - logiciels</t>
  </si>
  <si>
    <t>subv équip BTS économie S et F</t>
  </si>
  <si>
    <t>Subv accompagnement TPE</t>
  </si>
  <si>
    <t>Total 468623</t>
  </si>
  <si>
    <t>SUBVENTIONS DU LYCEE RESTANT A UTILISER</t>
  </si>
  <si>
    <t>Subv droits de reprographie</t>
  </si>
  <si>
    <t>Subv logiciels physique</t>
  </si>
  <si>
    <t>Subv mobilier reprographie</t>
  </si>
  <si>
    <t>Subv gratuité manuels scolaires</t>
  </si>
  <si>
    <t>subv équip général et pédagogique</t>
  </si>
  <si>
    <t>Total 468663</t>
  </si>
  <si>
    <t>Classe A PAC Ecriture poétique</t>
  </si>
  <si>
    <t>Classe A PAC Lecture livre</t>
  </si>
  <si>
    <t>Classe A PAC Opéra</t>
  </si>
  <si>
    <t xml:space="preserve"> </t>
  </si>
  <si>
    <t>subv équip pédag informatique</t>
  </si>
  <si>
    <t>subv équip pédagogique technique</t>
  </si>
  <si>
    <t>Subv équip SVT armoire ventilée</t>
  </si>
  <si>
    <t>Subv atel artist cinéma audiovisuel</t>
  </si>
  <si>
    <t>Classe A PAC culture scient et techniq</t>
  </si>
  <si>
    <t>Classe A PAC litt poésie image dev mot</t>
  </si>
  <si>
    <t>Classe A PAC litt poésie écrit nouvelle</t>
  </si>
  <si>
    <t>Subv mesures rentree</t>
  </si>
  <si>
    <t>subv équip TPE acquis logiciels</t>
  </si>
  <si>
    <t>A L'ISSUE DE L'EXERCICE 2002</t>
  </si>
  <si>
    <t>Comité Educat Santé Citoyenneté (CESC)</t>
  </si>
  <si>
    <t>O.R.</t>
  </si>
  <si>
    <t>Voyage Italie</t>
  </si>
  <si>
    <t>IA</t>
  </si>
  <si>
    <t>reliquat part familles voyage Angleterre</t>
  </si>
  <si>
    <t>subv bourses nationales</t>
  </si>
  <si>
    <t>reliquat part familles voyage Pleine Nat</t>
  </si>
  <si>
    <t xml:space="preserve">Subv Fonctionnement </t>
  </si>
  <si>
    <t>Subv voyage Allemagne</t>
  </si>
  <si>
    <t>ANLYCE</t>
  </si>
  <si>
    <t>Nanterre</t>
  </si>
  <si>
    <t>Fonds social lycéen + cantines</t>
  </si>
  <si>
    <t>FSE</t>
  </si>
  <si>
    <t>Subv CDI</t>
  </si>
  <si>
    <t xml:space="preserve">Subv carnets+affranchissement  </t>
  </si>
  <si>
    <t>équipement armoires audiovisuelles</t>
  </si>
  <si>
    <t>les concerts de Joliot</t>
  </si>
  <si>
    <t>Voyage Florence</t>
  </si>
  <si>
    <t>Foyer</t>
  </si>
  <si>
    <t>don du foyer</t>
  </si>
  <si>
    <t>Subv examens BTS</t>
  </si>
  <si>
    <t>Subv voyage Pologne</t>
  </si>
  <si>
    <t>Mairie</t>
  </si>
  <si>
    <t>Voyage Watford</t>
  </si>
  <si>
    <t>Voyage Bruxelles</t>
  </si>
  <si>
    <t>Voyage Pologne</t>
  </si>
  <si>
    <t>Familles</t>
  </si>
  <si>
    <t>Subv concerts</t>
  </si>
  <si>
    <t>Total 4413</t>
  </si>
  <si>
    <t>Parlement européen</t>
  </si>
  <si>
    <t>reliq voy 2004</t>
  </si>
  <si>
    <t>Loyers K. MARTIN</t>
  </si>
  <si>
    <t>Total 46311</t>
  </si>
  <si>
    <t>Mémoire EMOP 05/28</t>
  </si>
  <si>
    <t>FCSH</t>
  </si>
  <si>
    <t>Bourses FELLA</t>
  </si>
  <si>
    <t>Bourses THIOUB</t>
  </si>
  <si>
    <t>Bourses HOUSSNI</t>
  </si>
  <si>
    <t>Bourses MEDIEOBS</t>
  </si>
  <si>
    <t>Bourses MERICHE</t>
  </si>
  <si>
    <t>Bourses ZAHDOUR/NAILI</t>
  </si>
  <si>
    <t>Total 4663</t>
  </si>
  <si>
    <t>Subv voyage Amsterdam</t>
  </si>
  <si>
    <t>BD 3 TR 25 MARTIN</t>
  </si>
  <si>
    <t>BD 3 TR 26 RIGOLET</t>
  </si>
  <si>
    <t>BD 3 TR 28 KHELAIFI</t>
  </si>
  <si>
    <t>BD 3 TR 29 INQUIMBERT</t>
  </si>
  <si>
    <t>BD 3 TR 30 TRAORE</t>
  </si>
  <si>
    <t>BD 3 TR 34 ATTAF</t>
  </si>
  <si>
    <t>Total 46321</t>
  </si>
  <si>
    <t>subv équip pédagogique technique REL12</t>
  </si>
  <si>
    <t>subv équip pédag informatique REL13</t>
  </si>
  <si>
    <t>subv équip général et pédagogique REL14</t>
  </si>
  <si>
    <t>Subv equip pedagogique SVT/géo, REL15</t>
  </si>
  <si>
    <t>équipement pédagogique sportif REL17</t>
  </si>
  <si>
    <t>Subv EXAO REL28</t>
  </si>
  <si>
    <t>Subv logiciels physique REL3</t>
  </si>
  <si>
    <t>Subv renov prog sc. Phys. 1er Tle REL6</t>
  </si>
  <si>
    <t>Subv rénov prog phys/chimie REL7</t>
  </si>
  <si>
    <t>Subv accompagnement TPE REL8</t>
  </si>
  <si>
    <t>subv équip TPE acquis logiciels REL9</t>
  </si>
  <si>
    <t>logiciels multimédias REL5</t>
  </si>
  <si>
    <t>Subv gratuité manuels scolaires REL16</t>
  </si>
  <si>
    <t>Subv mobilier reprographie REL11</t>
  </si>
  <si>
    <t>Reliq Subv  Conseillères ESF REL19</t>
  </si>
  <si>
    <t>subv équip BTS économie S et F REL20</t>
  </si>
  <si>
    <t>Subv renov BTS NRC REL21</t>
  </si>
  <si>
    <t>Aide régionale filière technique REL22</t>
  </si>
  <si>
    <t>Subv logiciels techniques REL23</t>
  </si>
  <si>
    <t>Ateliers scientifiques REL25</t>
  </si>
  <si>
    <t>Actions astronomie et astrophys REL26</t>
  </si>
  <si>
    <t>Don du foyer</t>
  </si>
  <si>
    <t>Don voyage Amsterdam</t>
  </si>
  <si>
    <t>MIJE</t>
  </si>
  <si>
    <t>Eleves BTS ESF</t>
  </si>
  <si>
    <t>Total 47184</t>
  </si>
  <si>
    <t>Bourse KILIC</t>
  </si>
  <si>
    <t>INFOTEC Louise Michel</t>
  </si>
  <si>
    <t>SNCF Remb.voyage Amsterdam</t>
  </si>
  <si>
    <t>stages en entreprises pré-bac 06/20</t>
  </si>
  <si>
    <t>LPO LOUISE MICHEL</t>
  </si>
  <si>
    <t>France TELECOM</t>
  </si>
  <si>
    <t>Virement Galois pour DP élève 3ème</t>
  </si>
  <si>
    <t>Subv voyage Watford</t>
  </si>
  <si>
    <t>Comité jumelage</t>
  </si>
  <si>
    <t>Solde subv voyage Amsterdam</t>
  </si>
  <si>
    <t>Subv voyage Bruxelles</t>
  </si>
  <si>
    <t>Subv voyage Espagne</t>
  </si>
  <si>
    <t>Total 468263</t>
  </si>
  <si>
    <t>Voyage Amsterdam</t>
  </si>
  <si>
    <t>Mémoire Repas DAFPEN</t>
  </si>
  <si>
    <t>Subv voyage Pologne mal imputée en 2005</t>
  </si>
  <si>
    <t>Subv manuels scolaires 06/19 + 06/30</t>
  </si>
  <si>
    <t>Subv rideaux occultants 06/22</t>
  </si>
  <si>
    <t>Subv équip 06/01</t>
  </si>
  <si>
    <t>Subv equip pedago 06/21</t>
  </si>
  <si>
    <t>Subv wifi+log BTS NRC + MUC 06/02</t>
  </si>
  <si>
    <t>Subv mesures de rentrée 06/17</t>
  </si>
  <si>
    <t>Subv manuels scolaires 06/24 + 06/12</t>
  </si>
  <si>
    <t>RAJOT voy,bruxelles 2006</t>
  </si>
  <si>
    <t>KOTAICHE Céline voy,watford 2006</t>
  </si>
  <si>
    <t>SIDHOUM voy,bruxelles 2006</t>
  </si>
  <si>
    <t>BAPTISTE voy,amsterdam 2006</t>
  </si>
  <si>
    <t>LEFEBVRE voy,amsterdam 2006</t>
  </si>
  <si>
    <t>LUQUET voy,amsterdam 2006</t>
  </si>
  <si>
    <t>NAMANE voy,amsterdam 2006</t>
  </si>
  <si>
    <t>PASTEL voy,amsterdam 2006</t>
  </si>
  <si>
    <t>Total 4664</t>
  </si>
  <si>
    <t>Reliquat subv voyage</t>
  </si>
  <si>
    <t>Voyage Andalousie</t>
  </si>
  <si>
    <t>Rejet Edition DIDIER Paul Eluard</t>
  </si>
  <si>
    <t>Subv récompenses élèves</t>
  </si>
  <si>
    <t>Subv CESC 04/07</t>
  </si>
  <si>
    <t>Bourse KERVIZIC</t>
  </si>
  <si>
    <t>France Telecom</t>
  </si>
  <si>
    <t>Canal Numérique des Savoirs</t>
  </si>
  <si>
    <t>BD 21 TR 219 SERVERA</t>
  </si>
  <si>
    <t>BD 21 TR 220 REZA</t>
  </si>
  <si>
    <t>BD 21 TR 221 JEAN ALPHONSE</t>
  </si>
  <si>
    <t>BD 21 TR 222 ATTAF</t>
  </si>
  <si>
    <t>BD 21 TR 223 KHELAIFI</t>
  </si>
  <si>
    <t>BD 21 TR 224 RIGOLET</t>
  </si>
  <si>
    <t>BD 21 TR 225 GRATIEN</t>
  </si>
  <si>
    <t>BD 21 TR 226 CARAYOL</t>
  </si>
  <si>
    <t>BD 21 TR 227 LELIEVRE</t>
  </si>
  <si>
    <t>BD 21 TR 228 SABINE</t>
  </si>
  <si>
    <t>Total 441163</t>
  </si>
  <si>
    <t>Total 44112</t>
  </si>
  <si>
    <t>Subv mairie non identifiée</t>
  </si>
  <si>
    <t>Réglé le 20/02 par chèque</t>
  </si>
  <si>
    <t>Jean Alphonse</t>
  </si>
  <si>
    <t>Reza</t>
  </si>
  <si>
    <t>Attaf</t>
  </si>
  <si>
    <t>Servera</t>
  </si>
  <si>
    <t>Lelievre</t>
  </si>
  <si>
    <t>Frais stage NGUEMA NRC 1</t>
  </si>
  <si>
    <t>Frais stage BEN MOUSSA NRC 2</t>
  </si>
  <si>
    <t>Reliquat voyage Espagne 2006</t>
  </si>
  <si>
    <t>classe 4</t>
  </si>
  <si>
    <t>exercice</t>
  </si>
  <si>
    <t>2005</t>
  </si>
  <si>
    <t>FELLA</t>
  </si>
  <si>
    <t>THIOUB</t>
  </si>
  <si>
    <t>HOUSSNI</t>
  </si>
  <si>
    <t>MEDIEOBS</t>
  </si>
  <si>
    <t>MERICHE</t>
  </si>
  <si>
    <t xml:space="preserve">Subv manuels scolaires </t>
  </si>
  <si>
    <t>2006</t>
  </si>
  <si>
    <t>Enseignement scolaire public 2nd degré</t>
  </si>
  <si>
    <t>441181</t>
  </si>
  <si>
    <t>Vie de l'élève</t>
  </si>
  <si>
    <t>441182</t>
  </si>
  <si>
    <t>441183</t>
  </si>
  <si>
    <t>Soutien de la politique de l'EN</t>
  </si>
  <si>
    <t>2000</t>
  </si>
  <si>
    <t>2001</t>
  </si>
  <si>
    <t>2004</t>
  </si>
  <si>
    <t>2007</t>
  </si>
  <si>
    <t>2003</t>
  </si>
  <si>
    <t>2002</t>
  </si>
  <si>
    <t>4413</t>
  </si>
  <si>
    <t>Subv non identifiée</t>
  </si>
  <si>
    <t>46311</t>
  </si>
  <si>
    <t>BD 21 OR 223 KHELAIFI</t>
  </si>
  <si>
    <t>BD 21 OR 224 RIGOLLET</t>
  </si>
  <si>
    <t>BD 21 OR 225 GRATIEN</t>
  </si>
  <si>
    <t>BD 21 OR 226 CARAYOL</t>
  </si>
  <si>
    <t xml:space="preserve">BD 21 OR 228 SABINE </t>
  </si>
  <si>
    <t>1999</t>
  </si>
  <si>
    <t>468663</t>
  </si>
  <si>
    <t>Reliquat voyage Espagne</t>
  </si>
  <si>
    <t>MONDON Mélissa cotisations BTS CESF</t>
  </si>
  <si>
    <t>4664</t>
  </si>
  <si>
    <t>Bourses janv-mars 2007</t>
  </si>
  <si>
    <t>Subv OFAJ VCOLO</t>
  </si>
  <si>
    <t>Subv voyage Cambridge 09/07</t>
  </si>
  <si>
    <t>Subv voyage Strasbourg 08/07</t>
  </si>
  <si>
    <t>Subv CDI 07/07</t>
  </si>
  <si>
    <t>Subv récompenses élèves 06/30</t>
  </si>
  <si>
    <t>Subv FCSH 06/10</t>
  </si>
  <si>
    <t>équipement armoires audiovisuelles REL 27</t>
  </si>
  <si>
    <t>4663</t>
  </si>
  <si>
    <t>04/4/07</t>
  </si>
  <si>
    <t>Rejet RAKOTOARIMAH bourse GUIDEZ</t>
  </si>
  <si>
    <t>44128</t>
  </si>
  <si>
    <t>Subv exceptionnelle sinistre 2006 05/07</t>
  </si>
  <si>
    <t>stages en entreprises   03/07</t>
  </si>
  <si>
    <t>stages en entreprises   06/20</t>
  </si>
  <si>
    <t>stages en entreprises 06/04</t>
  </si>
  <si>
    <t>stages en entreprises 06/05</t>
  </si>
  <si>
    <t>441151</t>
  </si>
  <si>
    <t>441152</t>
  </si>
  <si>
    <t>441161</t>
  </si>
  <si>
    <t>441180</t>
  </si>
  <si>
    <t>46321</t>
  </si>
  <si>
    <t>Total 441181</t>
  </si>
  <si>
    <t>Total 441182</t>
  </si>
  <si>
    <t>Subv clés USB 11/07</t>
  </si>
  <si>
    <t>Subv voyage Cambridge 12/07</t>
  </si>
  <si>
    <t>DELVIGNE voy. Cambridge 2007</t>
  </si>
  <si>
    <t>MODJO voy. Cambridge 2007</t>
  </si>
  <si>
    <t>POUSTIS voy. Cambridge 2007</t>
  </si>
  <si>
    <t>Subv expo Arrachant Destin</t>
  </si>
  <si>
    <t>CAFA mémoire 20</t>
  </si>
  <si>
    <t>CAFA mémoire 21</t>
  </si>
  <si>
    <t>468263</t>
  </si>
  <si>
    <t>Subv voyage Cambridge</t>
  </si>
  <si>
    <t>O.R. (=débit)</t>
  </si>
  <si>
    <t>2007(=crédit)</t>
  </si>
  <si>
    <t>468223</t>
  </si>
  <si>
    <t>468623</t>
  </si>
  <si>
    <t>Subv "Sangs mêlés" 13/07 (J38)</t>
  </si>
  <si>
    <t>44122</t>
  </si>
  <si>
    <t>Ajustement DGF 14/07 (ouvert au C615)</t>
  </si>
  <si>
    <t xml:space="preserve">Subv manuels dont 3%frais gestion 16/07 </t>
  </si>
  <si>
    <t>Subv voyage Strasbourg  17/07 (N3 VSTRA)</t>
  </si>
  <si>
    <t xml:space="preserve">Subv manuels scolaires 06/24  </t>
  </si>
  <si>
    <t>Aide régionale demi-pension</t>
  </si>
  <si>
    <t>Subv équipmt pédagogique 04/07</t>
  </si>
  <si>
    <t>Subv CESC 02/07</t>
  </si>
  <si>
    <t>Bourses avril-juin 2007</t>
  </si>
  <si>
    <t>Subv en attente vote au CA</t>
  </si>
  <si>
    <t>Subv fonds de vie lycéen</t>
  </si>
  <si>
    <t>Don voyage Strasbourg</t>
  </si>
  <si>
    <t>Don voyage Normandie</t>
  </si>
  <si>
    <t>Don voyage Cambridge</t>
  </si>
  <si>
    <t>Remb livres mémoires 26 à 32/40 à 46 (AOR 1)</t>
  </si>
  <si>
    <t>BOUYGUES TELECOM</t>
  </si>
  <si>
    <t>Avoirs France TELECOM</t>
  </si>
  <si>
    <t>Reversement France TELECOM</t>
  </si>
  <si>
    <t>Louise Michel mémoire 33</t>
  </si>
  <si>
    <t>ANLYCE mémoire 58</t>
  </si>
  <si>
    <t>Divers élèves voyage Strasbourg</t>
  </si>
  <si>
    <t>Remb. Voyage Cambridge 2007</t>
  </si>
  <si>
    <t>Office de l'élevage</t>
  </si>
  <si>
    <t>Lycée Renoir</t>
  </si>
  <si>
    <t>Transport CAE</t>
  </si>
  <si>
    <t>Total 44188</t>
  </si>
  <si>
    <t>Subv globalisée</t>
  </si>
  <si>
    <t>16/7/7</t>
  </si>
  <si>
    <t>Rejet VOISIN GOUBEREAU bourse VOISIN</t>
  </si>
  <si>
    <t>13/7/7</t>
  </si>
  <si>
    <t>Rejet bourse LEGER</t>
  </si>
  <si>
    <t>Subv contrôles techniques 20/07</t>
  </si>
  <si>
    <t>Complt subv manuels scolaires 18/07</t>
  </si>
  <si>
    <t>Subv équipement pédagogique 19/07</t>
  </si>
  <si>
    <t>Aide régionnale demi-pension 22/07</t>
  </si>
  <si>
    <t>Fonds social lycéen 21/07</t>
  </si>
  <si>
    <t xml:space="preserve">Subv manuels scolaires 15/07 </t>
  </si>
  <si>
    <t>COLASSE mémoire 63 Octobre</t>
  </si>
  <si>
    <t>Louise Michel mémoire 64 repas rentrée élèves</t>
  </si>
  <si>
    <t>Clg République mémoire 61 repas rentrée</t>
  </si>
  <si>
    <t>SUIVI CLASSE 4 DU LYCEE xxx EN 2007</t>
  </si>
  <si>
    <t>SUIVI CLASSE 4 DU LYCEE xxx EN 2006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</si>
</sst>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F&quot;"/>
    <numFmt numFmtId="181" formatCode="_-* #,##0.00\ [$€-1]_-;\-* #,##0.00\ [$€-1]_-;_-* &quot;-&quot;??\ [$€-1]_-"/>
    <numFmt numFmtId="182" formatCode="_-* #,##0.00\ [$€-1]_-;\-* #,##0.00\ [$€-1]_-;_-* &quot;-&quot;??\ [$€-1]_-;_-@_-"/>
    <numFmt numFmtId="183" formatCode="#,##0.00\ _F"/>
    <numFmt numFmtId="184" formatCode="#,##0.00\ [$€-1];\-#,##0.00\ [$€-1]"/>
    <numFmt numFmtId="185" formatCode="#,##0.00\ [$€-1];[Red]\-#,##0.00\ [$€-1]"/>
  </numFmts>
  <fonts count="13">
    <font>
      <sz val="10"/>
      <name val="Comic Sans MS"/>
      <family val="0"/>
    </font>
    <font>
      <sz val="8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i/>
      <sz val="10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i/>
      <sz val="9"/>
      <name val="Comic Sans MS"/>
      <family val="4"/>
    </font>
    <font>
      <i/>
      <sz val="8"/>
      <name val="Comic Sans MS"/>
      <family val="4"/>
    </font>
    <font>
      <b/>
      <i/>
      <sz val="9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8" fontId="0" fillId="0" borderId="0" xfId="20" applyAlignment="1">
      <alignment/>
    </xf>
    <xf numFmtId="0" fontId="1" fillId="0" borderId="1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178" fontId="3" fillId="0" borderId="0" xfId="20" applyFont="1" applyAlignment="1">
      <alignment horizontal="centerContinuous"/>
    </xf>
    <xf numFmtId="0" fontId="0" fillId="0" borderId="3" xfId="0" applyFont="1" applyBorder="1" applyAlignment="1">
      <alignment/>
    </xf>
    <xf numFmtId="17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181" fontId="0" fillId="0" borderId="9" xfId="15" applyFont="1" applyBorder="1" applyAlignment="1">
      <alignment/>
    </xf>
    <xf numFmtId="17" fontId="0" fillId="0" borderId="2" xfId="0" applyNumberFormat="1" applyFont="1" applyBorder="1" applyAlignment="1">
      <alignment/>
    </xf>
    <xf numFmtId="181" fontId="0" fillId="0" borderId="2" xfId="15" applyFont="1" applyBorder="1" applyAlignment="1">
      <alignment/>
    </xf>
    <xf numFmtId="181" fontId="1" fillId="0" borderId="1" xfId="15" applyFont="1" applyBorder="1" applyAlignment="1">
      <alignment horizontal="center"/>
    </xf>
    <xf numFmtId="181" fontId="0" fillId="0" borderId="6" xfId="15" applyFont="1" applyBorder="1" applyAlignment="1">
      <alignment/>
    </xf>
    <xf numFmtId="181" fontId="0" fillId="0" borderId="5" xfId="15" applyFont="1" applyBorder="1" applyAlignment="1">
      <alignment/>
    </xf>
    <xf numFmtId="181" fontId="1" fillId="0" borderId="0" xfId="15" applyFont="1" applyBorder="1" applyAlignment="1">
      <alignment/>
    </xf>
    <xf numFmtId="181" fontId="0" fillId="0" borderId="8" xfId="15" applyFont="1" applyBorder="1" applyAlignment="1">
      <alignment/>
    </xf>
    <xf numFmtId="181" fontId="0" fillId="0" borderId="0" xfId="15" applyFont="1" applyBorder="1" applyAlignment="1">
      <alignment/>
    </xf>
    <xf numFmtId="181" fontId="0" fillId="0" borderId="4" xfId="15" applyFont="1" applyBorder="1" applyAlignment="1">
      <alignment/>
    </xf>
    <xf numFmtId="181" fontId="0" fillId="0" borderId="7" xfId="15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7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178" fontId="2" fillId="0" borderId="0" xfId="20" applyFont="1" applyBorder="1" applyAlignment="1">
      <alignment/>
    </xf>
    <xf numFmtId="178" fontId="0" fillId="0" borderId="0" xfId="20" applyFont="1" applyBorder="1" applyAlignment="1">
      <alignment/>
    </xf>
    <xf numFmtId="0" fontId="1" fillId="0" borderId="10" xfId="15" applyNumberFormat="1" applyFont="1" applyBorder="1" applyAlignment="1">
      <alignment horizontal="center"/>
    </xf>
    <xf numFmtId="181" fontId="7" fillId="0" borderId="2" xfId="15" applyFont="1" applyBorder="1" applyAlignment="1">
      <alignment/>
    </xf>
    <xf numFmtId="181" fontId="0" fillId="0" borderId="3" xfId="15" applyFont="1" applyBorder="1" applyAlignment="1">
      <alignment horizontal="centerContinuous"/>
    </xf>
    <xf numFmtId="181" fontId="0" fillId="0" borderId="11" xfId="15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6" fillId="0" borderId="2" xfId="0" applyNumberFormat="1" applyFont="1" applyBorder="1" applyAlignment="1">
      <alignment/>
    </xf>
    <xf numFmtId="181" fontId="6" fillId="0" borderId="0" xfId="15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181" fontId="1" fillId="0" borderId="2" xfId="15" applyFont="1" applyBorder="1" applyAlignment="1">
      <alignment/>
    </xf>
    <xf numFmtId="181" fontId="10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11" fillId="0" borderId="0" xfId="15" applyFont="1" applyBorder="1" applyAlignment="1">
      <alignment horizontal="center"/>
    </xf>
    <xf numFmtId="181" fontId="5" fillId="0" borderId="8" xfId="15" applyFont="1" applyBorder="1" applyAlignment="1">
      <alignment/>
    </xf>
    <xf numFmtId="181" fontId="10" fillId="0" borderId="0" xfId="15" applyFont="1" applyBorder="1" applyAlignment="1">
      <alignment/>
    </xf>
    <xf numFmtId="184" fontId="10" fillId="0" borderId="0" xfId="15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181" fontId="10" fillId="0" borderId="2" xfId="15" applyFont="1" applyBorder="1" applyAlignment="1">
      <alignment/>
    </xf>
    <xf numFmtId="185" fontId="6" fillId="0" borderId="1" xfId="15" applyNumberFormat="1" applyFont="1" applyBorder="1" applyAlignment="1">
      <alignment/>
    </xf>
    <xf numFmtId="185" fontId="6" fillId="0" borderId="10" xfId="15" applyNumberFormat="1" applyFont="1" applyBorder="1" applyAlignment="1">
      <alignment/>
    </xf>
    <xf numFmtId="185" fontId="6" fillId="0" borderId="0" xfId="15" applyNumberFormat="1" applyFont="1" applyBorder="1" applyAlignment="1">
      <alignment/>
    </xf>
    <xf numFmtId="185" fontId="6" fillId="0" borderId="2" xfId="15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81" fontId="12" fillId="0" borderId="0" xfId="15" applyFont="1" applyBorder="1" applyAlignment="1">
      <alignment/>
    </xf>
    <xf numFmtId="49" fontId="12" fillId="0" borderId="2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" xfId="0" applyFont="1" applyBorder="1" applyAlignment="1">
      <alignment/>
    </xf>
    <xf numFmtId="185" fontId="12" fillId="0" borderId="1" xfId="15" applyNumberFormat="1" applyFont="1" applyBorder="1" applyAlignment="1">
      <alignment/>
    </xf>
    <xf numFmtId="185" fontId="12" fillId="0" borderId="10" xfId="15" applyNumberFormat="1" applyFont="1" applyBorder="1" applyAlignment="1">
      <alignment/>
    </xf>
    <xf numFmtId="185" fontId="12" fillId="0" borderId="0" xfId="15" applyNumberFormat="1" applyFont="1" applyBorder="1" applyAlignment="1">
      <alignment/>
    </xf>
    <xf numFmtId="185" fontId="12" fillId="0" borderId="2" xfId="15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4"/>
  <sheetViews>
    <sheetView workbookViewId="0" topLeftCell="A1">
      <pane ySplit="2070" topLeftCell="BM162" activePane="bottomLeft" state="split"/>
      <selection pane="topLeft" activeCell="B2" sqref="B2"/>
      <selection pane="bottomLeft" activeCell="L65" sqref="L65"/>
    </sheetView>
  </sheetViews>
  <sheetFormatPr defaultColWidth="11.00390625" defaultRowHeight="15"/>
  <cols>
    <col min="1" max="1" width="5.625" style="72" customWidth="1"/>
    <col min="2" max="2" width="6.00390625" style="30" customWidth="1"/>
    <col min="3" max="3" width="32.625" style="27" customWidth="1"/>
    <col min="4" max="4" width="8.625" style="26" customWidth="1"/>
    <col min="5" max="5" width="10.625" style="50" customWidth="1"/>
    <col min="6" max="6" width="10.75390625" style="23" customWidth="1"/>
    <col min="7" max="7" width="11.125" style="23" customWidth="1"/>
    <col min="8" max="8" width="11.25390625" style="23" customWidth="1"/>
    <col min="9" max="10" width="11.125" style="23" customWidth="1"/>
    <col min="11" max="16384" width="11.00390625" style="27" customWidth="1"/>
  </cols>
  <sheetData>
    <row r="2" ht="22.5">
      <c r="B2" s="28" t="s">
        <v>324</v>
      </c>
    </row>
    <row r="3" spans="1:10" ht="15">
      <c r="A3" s="73"/>
      <c r="B3" s="10"/>
      <c r="C3" s="11"/>
      <c r="D3" s="37"/>
      <c r="E3" s="51"/>
      <c r="F3" s="35" t="s">
        <v>6</v>
      </c>
      <c r="G3" s="36"/>
      <c r="H3" s="20"/>
      <c r="I3" s="24"/>
      <c r="J3" s="24"/>
    </row>
    <row r="4" spans="1:10" ht="19.5">
      <c r="A4" s="74" t="s">
        <v>210</v>
      </c>
      <c r="B4" s="3" t="s">
        <v>211</v>
      </c>
      <c r="C4" s="4" t="s">
        <v>44</v>
      </c>
      <c r="D4" s="38" t="s">
        <v>43</v>
      </c>
      <c r="E4" s="52" t="s">
        <v>3</v>
      </c>
      <c r="F4" s="18" t="s">
        <v>5</v>
      </c>
      <c r="G4" s="33" t="s">
        <v>280</v>
      </c>
      <c r="H4" s="21" t="s">
        <v>9</v>
      </c>
      <c r="I4" s="17" t="s">
        <v>279</v>
      </c>
      <c r="J4" s="48" t="s">
        <v>1</v>
      </c>
    </row>
    <row r="5" spans="1:10" ht="15">
      <c r="A5" s="75"/>
      <c r="B5" s="13"/>
      <c r="C5" s="14"/>
      <c r="D5" s="39"/>
      <c r="E5" s="53"/>
      <c r="F5" s="19"/>
      <c r="G5" s="15"/>
      <c r="H5" s="22"/>
      <c r="I5" s="25"/>
      <c r="J5" s="25"/>
    </row>
    <row r="6" spans="1:10" ht="15">
      <c r="A6" s="76"/>
      <c r="B6" s="62"/>
      <c r="C6" s="26"/>
      <c r="D6" s="40"/>
      <c r="E6" s="54"/>
      <c r="F6" s="58"/>
      <c r="G6" s="59"/>
      <c r="H6" s="60"/>
      <c r="I6" s="61"/>
      <c r="J6" s="61"/>
    </row>
    <row r="7" spans="1:10" ht="15">
      <c r="A7" s="76">
        <v>44112</v>
      </c>
      <c r="B7" s="62"/>
      <c r="C7" s="26" t="s">
        <v>77</v>
      </c>
      <c r="D7" s="40" t="s">
        <v>7</v>
      </c>
      <c r="E7" s="54"/>
      <c r="F7" s="58">
        <v>-69804.66</v>
      </c>
      <c r="G7" s="59">
        <f>20.1+110.86+55.47+160.35+153564.35+12.72+34+20.1+20.1+165.31+64.46+20.1+20.1+20.1+20.1+103.1</f>
        <v>154411.32000000004</v>
      </c>
      <c r="H7" s="60">
        <f aca="true" t="shared" si="0" ref="H7:H14">SUM(F7+G7)</f>
        <v>84606.66000000003</v>
      </c>
      <c r="I7" s="61"/>
      <c r="J7" s="61">
        <f aca="true" t="shared" si="1" ref="J7:J14">H7-I7</f>
        <v>84606.66000000003</v>
      </c>
    </row>
    <row r="8" spans="1:10" ht="15">
      <c r="A8" s="76"/>
      <c r="B8" s="62"/>
      <c r="C8" s="26" t="s">
        <v>245</v>
      </c>
      <c r="D8" s="40"/>
      <c r="E8" s="54"/>
      <c r="F8" s="58"/>
      <c r="G8" s="59">
        <f>212.46+76970.51</f>
        <v>77182.97</v>
      </c>
      <c r="H8" s="60">
        <f t="shared" si="0"/>
        <v>77182.97</v>
      </c>
      <c r="I8" s="61">
        <v>85267.43</v>
      </c>
      <c r="J8" s="61">
        <f t="shared" si="1"/>
        <v>-8084.459999999992</v>
      </c>
    </row>
    <row r="9" spans="1:10" ht="15">
      <c r="A9" s="76"/>
      <c r="B9" s="62"/>
      <c r="C9" s="26" t="s">
        <v>292</v>
      </c>
      <c r="D9" s="40"/>
      <c r="E9" s="54"/>
      <c r="F9" s="58"/>
      <c r="G9" s="59">
        <f>43029.71+115.23</f>
        <v>43144.94</v>
      </c>
      <c r="H9" s="60">
        <f t="shared" si="0"/>
        <v>43144.94</v>
      </c>
      <c r="I9" s="61">
        <f>61198.03+115.23</f>
        <v>61313.26</v>
      </c>
      <c r="J9" s="61">
        <f t="shared" si="1"/>
        <v>-18168.32</v>
      </c>
    </row>
    <row r="10" spans="1:10" ht="15">
      <c r="A10" s="76"/>
      <c r="B10" s="62" t="s">
        <v>212</v>
      </c>
      <c r="C10" s="26" t="s">
        <v>213</v>
      </c>
      <c r="D10" s="40"/>
      <c r="E10" s="54"/>
      <c r="F10" s="58">
        <v>80.07</v>
      </c>
      <c r="G10" s="59"/>
      <c r="H10" s="60">
        <f t="shared" si="0"/>
        <v>80.07</v>
      </c>
      <c r="I10" s="61">
        <v>80.07</v>
      </c>
      <c r="J10" s="61">
        <f t="shared" si="1"/>
        <v>0</v>
      </c>
    </row>
    <row r="11" spans="1:10" ht="15">
      <c r="A11" s="76"/>
      <c r="B11" s="62" t="s">
        <v>212</v>
      </c>
      <c r="C11" s="26" t="s">
        <v>214</v>
      </c>
      <c r="D11" s="40"/>
      <c r="E11" s="54"/>
      <c r="F11" s="58">
        <v>533.59</v>
      </c>
      <c r="G11" s="59"/>
      <c r="H11" s="60">
        <f t="shared" si="0"/>
        <v>533.59</v>
      </c>
      <c r="I11" s="61">
        <v>533.59</v>
      </c>
      <c r="J11" s="61">
        <f t="shared" si="1"/>
        <v>0</v>
      </c>
    </row>
    <row r="12" spans="1:10" ht="15">
      <c r="A12" s="76"/>
      <c r="B12" s="62" t="s">
        <v>212</v>
      </c>
      <c r="C12" s="26" t="s">
        <v>215</v>
      </c>
      <c r="D12" s="40"/>
      <c r="E12" s="54"/>
      <c r="F12" s="58">
        <v>123.92</v>
      </c>
      <c r="G12" s="59"/>
      <c r="H12" s="60">
        <f t="shared" si="0"/>
        <v>123.92</v>
      </c>
      <c r="I12" s="61">
        <v>123.92</v>
      </c>
      <c r="J12" s="61">
        <f t="shared" si="1"/>
        <v>0</v>
      </c>
    </row>
    <row r="13" spans="1:10" ht="15">
      <c r="A13" s="76"/>
      <c r="B13" s="62" t="s">
        <v>212</v>
      </c>
      <c r="C13" s="26" t="s">
        <v>216</v>
      </c>
      <c r="D13" s="40"/>
      <c r="E13" s="54"/>
      <c r="F13" s="58">
        <v>14.9</v>
      </c>
      <c r="G13" s="59"/>
      <c r="H13" s="60">
        <f t="shared" si="0"/>
        <v>14.9</v>
      </c>
      <c r="I13" s="61">
        <v>14.9</v>
      </c>
      <c r="J13" s="61">
        <f t="shared" si="1"/>
        <v>0</v>
      </c>
    </row>
    <row r="14" spans="1:10" ht="15">
      <c r="A14" s="76"/>
      <c r="B14" s="62" t="s">
        <v>212</v>
      </c>
      <c r="C14" s="26" t="s">
        <v>217</v>
      </c>
      <c r="D14" s="40"/>
      <c r="E14" s="54"/>
      <c r="F14" s="58">
        <v>19.33</v>
      </c>
      <c r="G14" s="59"/>
      <c r="H14" s="60">
        <f t="shared" si="0"/>
        <v>19.33</v>
      </c>
      <c r="I14" s="61">
        <v>19.33</v>
      </c>
      <c r="J14" s="61">
        <f t="shared" si="1"/>
        <v>0</v>
      </c>
    </row>
    <row r="15" spans="1:10" ht="15">
      <c r="A15" s="76"/>
      <c r="B15" s="62"/>
      <c r="C15" s="26"/>
      <c r="D15" s="40"/>
      <c r="E15" s="54"/>
      <c r="F15" s="58"/>
      <c r="G15" s="59"/>
      <c r="H15" s="60"/>
      <c r="I15" s="61"/>
      <c r="J15" s="61"/>
    </row>
    <row r="16" spans="1:10" ht="15">
      <c r="A16" s="76"/>
      <c r="B16" s="62"/>
      <c r="C16" s="26"/>
      <c r="D16" s="40"/>
      <c r="E16" s="54" t="s">
        <v>199</v>
      </c>
      <c r="F16" s="58">
        <f>SUM(F7:F15)</f>
        <v>-69032.85</v>
      </c>
      <c r="G16" s="59">
        <f>SUM(G7:G15)</f>
        <v>274739.23000000004</v>
      </c>
      <c r="H16" s="60">
        <f>SUM(H7:H15)</f>
        <v>205706.38000000003</v>
      </c>
      <c r="I16" s="61">
        <f>SUM(I7:I15)</f>
        <v>147352.5</v>
      </c>
      <c r="J16" s="61">
        <f>SUM(J7:J15)</f>
        <v>58353.88000000004</v>
      </c>
    </row>
    <row r="17" spans="1:10" ht="15">
      <c r="A17" s="76"/>
      <c r="B17" s="62"/>
      <c r="C17" s="26"/>
      <c r="D17" s="40"/>
      <c r="E17" s="54"/>
      <c r="F17" s="58"/>
      <c r="G17" s="59"/>
      <c r="H17" s="60"/>
      <c r="I17" s="61"/>
      <c r="J17" s="61"/>
    </row>
    <row r="18" spans="1:10" ht="15">
      <c r="A18" s="76">
        <v>44114</v>
      </c>
      <c r="B18" s="62" t="s">
        <v>212</v>
      </c>
      <c r="C18" s="26" t="s">
        <v>92</v>
      </c>
      <c r="D18" s="40" t="s">
        <v>10</v>
      </c>
      <c r="E18" s="54"/>
      <c r="F18" s="58">
        <v>1048</v>
      </c>
      <c r="G18" s="59"/>
      <c r="H18" s="60">
        <f>F18+G18</f>
        <v>1048</v>
      </c>
      <c r="I18" s="61"/>
      <c r="J18" s="61">
        <f>H18-I18</f>
        <v>1048</v>
      </c>
    </row>
    <row r="19" spans="1:10" ht="15">
      <c r="A19" s="76"/>
      <c r="B19" s="62"/>
      <c r="C19" s="26"/>
      <c r="D19" s="40"/>
      <c r="E19" s="54"/>
      <c r="F19" s="58"/>
      <c r="G19" s="59"/>
      <c r="H19" s="60"/>
      <c r="I19" s="61"/>
      <c r="J19" s="61"/>
    </row>
    <row r="20" spans="1:10" ht="15">
      <c r="A20" s="76" t="s">
        <v>262</v>
      </c>
      <c r="B20" s="62"/>
      <c r="C20" s="26" t="s">
        <v>218</v>
      </c>
      <c r="D20" s="40" t="s">
        <v>2</v>
      </c>
      <c r="E20" s="54"/>
      <c r="F20" s="58">
        <v>0</v>
      </c>
      <c r="G20" s="59"/>
      <c r="H20" s="60">
        <f>SUM(F20+G20)</f>
        <v>0</v>
      </c>
      <c r="I20" s="61"/>
      <c r="J20" s="61">
        <f>H20-I20</f>
        <v>0</v>
      </c>
    </row>
    <row r="21" spans="1:10" ht="15">
      <c r="A21" s="76"/>
      <c r="B21" s="62"/>
      <c r="C21" s="26"/>
      <c r="D21" s="40"/>
      <c r="E21" s="54"/>
      <c r="F21" s="58"/>
      <c r="G21" s="59"/>
      <c r="H21" s="60"/>
      <c r="I21" s="61"/>
      <c r="J21" s="61"/>
    </row>
    <row r="22" spans="1:10" ht="15">
      <c r="A22" s="76" t="s">
        <v>263</v>
      </c>
      <c r="B22" s="62"/>
      <c r="C22" s="26" t="s">
        <v>52</v>
      </c>
      <c r="D22" s="40" t="s">
        <v>2</v>
      </c>
      <c r="E22" s="54"/>
      <c r="F22" s="58">
        <v>0</v>
      </c>
      <c r="G22" s="59"/>
      <c r="H22" s="60">
        <f>SUM(F22+G22)</f>
        <v>0</v>
      </c>
      <c r="I22" s="61"/>
      <c r="J22" s="61">
        <f>H22-I22</f>
        <v>0</v>
      </c>
    </row>
    <row r="23" spans="1:10" ht="15">
      <c r="A23" s="76"/>
      <c r="B23" s="62"/>
      <c r="C23" s="26"/>
      <c r="D23" s="40"/>
      <c r="E23" s="54"/>
      <c r="F23" s="58"/>
      <c r="G23" s="59"/>
      <c r="H23" s="60"/>
      <c r="I23" s="61"/>
      <c r="J23" s="61"/>
    </row>
    <row r="24" spans="1:10" ht="15">
      <c r="A24" s="76" t="s">
        <v>264</v>
      </c>
      <c r="B24" s="62"/>
      <c r="C24" s="26" t="s">
        <v>11</v>
      </c>
      <c r="D24" s="40" t="s">
        <v>2</v>
      </c>
      <c r="E24" s="54"/>
      <c r="F24" s="58">
        <v>0</v>
      </c>
      <c r="G24" s="59"/>
      <c r="H24" s="60">
        <f>SUM(F24+G24)</f>
        <v>0</v>
      </c>
      <c r="I24" s="61"/>
      <c r="J24" s="61">
        <f>H24-I24</f>
        <v>0</v>
      </c>
    </row>
    <row r="25" spans="1:10" ht="15">
      <c r="A25" s="76"/>
      <c r="B25" s="62"/>
      <c r="C25" s="26"/>
      <c r="D25" s="40"/>
      <c r="E25" s="54"/>
      <c r="F25" s="58"/>
      <c r="G25" s="59"/>
      <c r="H25" s="60"/>
      <c r="I25" s="61"/>
      <c r="J25" s="61"/>
    </row>
    <row r="26" spans="1:25" s="29" customFormat="1" ht="16.5">
      <c r="A26" s="71" t="s">
        <v>265</v>
      </c>
      <c r="B26" s="64"/>
      <c r="C26" s="65" t="s">
        <v>293</v>
      </c>
      <c r="D26" s="66" t="s">
        <v>2</v>
      </c>
      <c r="E26" s="63"/>
      <c r="F26" s="67"/>
      <c r="G26" s="68"/>
      <c r="H26" s="60"/>
      <c r="I26" s="70"/>
      <c r="J26" s="6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10" ht="15">
      <c r="A27" s="76"/>
      <c r="B27" s="62" t="s">
        <v>229</v>
      </c>
      <c r="C27" s="26" t="s">
        <v>310</v>
      </c>
      <c r="D27" s="40" t="s">
        <v>2</v>
      </c>
      <c r="E27" s="54"/>
      <c r="F27" s="58"/>
      <c r="G27" s="59">
        <v>4168.24</v>
      </c>
      <c r="H27" s="60">
        <f>SUM(F27+G27)</f>
        <v>4168.24</v>
      </c>
      <c r="I27" s="61"/>
      <c r="J27" s="61">
        <f>H27-I27</f>
        <v>4168.24</v>
      </c>
    </row>
    <row r="28" spans="1:10" ht="15">
      <c r="A28" s="76"/>
      <c r="B28" s="62"/>
      <c r="C28" s="26"/>
      <c r="D28" s="40"/>
      <c r="E28" s="54"/>
      <c r="F28" s="58"/>
      <c r="G28" s="59"/>
      <c r="H28" s="60"/>
      <c r="I28" s="61"/>
      <c r="J28" s="61"/>
    </row>
    <row r="29" spans="1:25" s="29" customFormat="1" ht="16.5">
      <c r="A29" s="71" t="s">
        <v>221</v>
      </c>
      <c r="B29" s="64"/>
      <c r="C29" s="65" t="s">
        <v>220</v>
      </c>
      <c r="D29" s="66"/>
      <c r="E29" s="63"/>
      <c r="F29" s="67"/>
      <c r="G29" s="68"/>
      <c r="H29" s="69"/>
      <c r="I29" s="70"/>
      <c r="J29" s="7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10" ht="15">
      <c r="A30" s="76" t="s">
        <v>221</v>
      </c>
      <c r="B30" s="62" t="s">
        <v>219</v>
      </c>
      <c r="C30" s="26" t="s">
        <v>258</v>
      </c>
      <c r="D30" s="40" t="s">
        <v>2</v>
      </c>
      <c r="E30" s="54"/>
      <c r="F30" s="58">
        <v>5159</v>
      </c>
      <c r="G30" s="59"/>
      <c r="H30" s="60">
        <v>5159</v>
      </c>
      <c r="I30" s="61" t="s">
        <v>61</v>
      </c>
      <c r="J30" s="61">
        <v>5159</v>
      </c>
    </row>
    <row r="31" spans="1:10" ht="15">
      <c r="A31" s="76" t="s">
        <v>221</v>
      </c>
      <c r="B31" s="62" t="s">
        <v>219</v>
      </c>
      <c r="C31" s="26" t="s">
        <v>259</v>
      </c>
      <c r="D31" s="40" t="s">
        <v>2</v>
      </c>
      <c r="E31" s="54"/>
      <c r="F31" s="58">
        <v>2427.09</v>
      </c>
      <c r="G31" s="59"/>
      <c r="H31" s="60">
        <f>SUM(F31+G31)</f>
        <v>2427.09</v>
      </c>
      <c r="I31" s="61">
        <v>0</v>
      </c>
      <c r="J31" s="61">
        <f>H31-I31</f>
        <v>2427.09</v>
      </c>
    </row>
    <row r="32" spans="1:10" ht="15">
      <c r="A32" s="76" t="s">
        <v>221</v>
      </c>
      <c r="B32" s="62" t="s">
        <v>212</v>
      </c>
      <c r="C32" s="26" t="s">
        <v>260</v>
      </c>
      <c r="D32" s="40" t="s">
        <v>2</v>
      </c>
      <c r="E32" s="54"/>
      <c r="F32" s="58">
        <v>128</v>
      </c>
      <c r="G32" s="59"/>
      <c r="H32" s="60">
        <v>128</v>
      </c>
      <c r="I32" s="61" t="s">
        <v>61</v>
      </c>
      <c r="J32" s="61">
        <v>128</v>
      </c>
    </row>
    <row r="33" spans="1:10" ht="15">
      <c r="A33" s="76" t="s">
        <v>221</v>
      </c>
      <c r="B33" s="62" t="s">
        <v>212</v>
      </c>
      <c r="C33" s="26" t="s">
        <v>261</v>
      </c>
      <c r="D33" s="40" t="s">
        <v>2</v>
      </c>
      <c r="E33" s="54"/>
      <c r="F33" s="58">
        <v>448</v>
      </c>
      <c r="G33" s="59"/>
      <c r="H33" s="60">
        <v>448</v>
      </c>
      <c r="I33" s="61" t="s">
        <v>61</v>
      </c>
      <c r="J33" s="61">
        <v>448</v>
      </c>
    </row>
    <row r="34" spans="1:10" ht="15">
      <c r="A34" s="76" t="s">
        <v>221</v>
      </c>
      <c r="B34" s="62" t="s">
        <v>226</v>
      </c>
      <c r="C34" s="26" t="s">
        <v>131</v>
      </c>
      <c r="D34" s="40" t="s">
        <v>2</v>
      </c>
      <c r="E34" s="54"/>
      <c r="F34" s="58">
        <v>468.26</v>
      </c>
      <c r="G34" s="59"/>
      <c r="H34" s="60">
        <f>SUM(F34+G34)</f>
        <v>468.26</v>
      </c>
      <c r="I34" s="61"/>
      <c r="J34" s="61">
        <f aca="true" t="shared" si="2" ref="J34:J39">H34-I34</f>
        <v>468.26</v>
      </c>
    </row>
    <row r="35" spans="1:10" ht="15">
      <c r="A35" s="76" t="s">
        <v>221</v>
      </c>
      <c r="B35" s="62" t="s">
        <v>227</v>
      </c>
      <c r="C35" s="26" t="s">
        <v>128</v>
      </c>
      <c r="D35" s="40" t="s">
        <v>2</v>
      </c>
      <c r="E35" s="54"/>
      <c r="F35" s="58">
        <v>493.4</v>
      </c>
      <c r="G35" s="59"/>
      <c r="H35" s="60">
        <f>SUM(F35+G35)</f>
        <v>493.4</v>
      </c>
      <c r="I35" s="61"/>
      <c r="J35" s="61">
        <f t="shared" si="2"/>
        <v>493.4</v>
      </c>
    </row>
    <row r="36" spans="1:10" ht="15">
      <c r="A36" s="76" t="s">
        <v>221</v>
      </c>
      <c r="B36" s="62" t="s">
        <v>228</v>
      </c>
      <c r="C36" s="26" t="s">
        <v>138</v>
      </c>
      <c r="D36" s="40" t="s">
        <v>2</v>
      </c>
      <c r="E36" s="54"/>
      <c r="F36" s="58">
        <v>407.39</v>
      </c>
      <c r="G36" s="59"/>
      <c r="H36" s="60">
        <f>SUM(F36+G36)</f>
        <v>407.39</v>
      </c>
      <c r="I36" s="61">
        <v>76.9</v>
      </c>
      <c r="J36" s="61">
        <f t="shared" si="2"/>
        <v>330.49</v>
      </c>
    </row>
    <row r="37" spans="1:25" ht="15">
      <c r="A37" s="76" t="s">
        <v>221</v>
      </c>
      <c r="B37" s="62" t="s">
        <v>228</v>
      </c>
      <c r="C37" s="46" t="s">
        <v>141</v>
      </c>
      <c r="D37" s="40" t="s">
        <v>2</v>
      </c>
      <c r="E37" s="54"/>
      <c r="F37" s="58">
        <v>400</v>
      </c>
      <c r="G37" s="59"/>
      <c r="H37" s="60">
        <f>SUM(F37:G37)</f>
        <v>400</v>
      </c>
      <c r="I37" s="61"/>
      <c r="J37" s="61">
        <f t="shared" si="2"/>
        <v>400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>
      <c r="A38" s="76" t="s">
        <v>221</v>
      </c>
      <c r="B38" s="62" t="s">
        <v>228</v>
      </c>
      <c r="C38" s="46" t="s">
        <v>142</v>
      </c>
      <c r="D38" s="40" t="s">
        <v>2</v>
      </c>
      <c r="E38" s="54"/>
      <c r="F38" s="58">
        <v>110.75</v>
      </c>
      <c r="G38" s="59"/>
      <c r="H38" s="60">
        <f>SUM(F38:G38)</f>
        <v>110.75</v>
      </c>
      <c r="I38" s="61">
        <v>60</v>
      </c>
      <c r="J38" s="61">
        <f t="shared" si="2"/>
        <v>50.75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>
      <c r="A39" s="76"/>
      <c r="B39" s="62"/>
      <c r="C39" s="46"/>
      <c r="D39" s="40"/>
      <c r="E39" s="54" t="s">
        <v>267</v>
      </c>
      <c r="F39" s="58">
        <f>SUM(F30:F38)</f>
        <v>10041.89</v>
      </c>
      <c r="G39" s="59">
        <f>SUM(G30:G38)</f>
        <v>0</v>
      </c>
      <c r="H39" s="60">
        <f>SUM(F39:G39)</f>
        <v>10041.89</v>
      </c>
      <c r="I39" s="61">
        <f>SUM(I30:I38)</f>
        <v>136.9</v>
      </c>
      <c r="J39" s="61">
        <f t="shared" si="2"/>
        <v>9904.99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29" customFormat="1" ht="16.5">
      <c r="A40" s="71"/>
      <c r="B40" s="64"/>
      <c r="C40" s="65"/>
      <c r="D40" s="66"/>
      <c r="E40" s="63"/>
      <c r="F40" s="67"/>
      <c r="G40" s="68"/>
      <c r="H40" s="69"/>
      <c r="I40" s="70"/>
      <c r="J40" s="7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s="29" customFormat="1" ht="16.5">
      <c r="A41" s="71" t="s">
        <v>223</v>
      </c>
      <c r="B41" s="64"/>
      <c r="C41" s="65" t="s">
        <v>222</v>
      </c>
      <c r="D41" s="66"/>
      <c r="E41" s="63"/>
      <c r="F41" s="67"/>
      <c r="G41" s="68"/>
      <c r="H41" s="69"/>
      <c r="I41" s="70"/>
      <c r="J41" s="7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10" ht="15">
      <c r="A42" s="76" t="s">
        <v>223</v>
      </c>
      <c r="B42" s="62" t="s">
        <v>229</v>
      </c>
      <c r="C42" s="26" t="s">
        <v>294</v>
      </c>
      <c r="D42" s="40" t="s">
        <v>2</v>
      </c>
      <c r="E42" s="54">
        <v>2400</v>
      </c>
      <c r="F42" s="58"/>
      <c r="G42" s="59">
        <v>1920</v>
      </c>
      <c r="H42" s="60">
        <f>SUM(F42+G42)</f>
        <v>1920</v>
      </c>
      <c r="I42" s="61"/>
      <c r="J42" s="61">
        <f aca="true" t="shared" si="3" ref="J42:J47">H42-I42</f>
        <v>1920</v>
      </c>
    </row>
    <row r="43" spans="1:10" ht="15">
      <c r="A43" s="76" t="s">
        <v>223</v>
      </c>
      <c r="B43" s="62" t="s">
        <v>219</v>
      </c>
      <c r="C43" s="26" t="s">
        <v>83</v>
      </c>
      <c r="D43" s="40" t="s">
        <v>2</v>
      </c>
      <c r="E43" s="54"/>
      <c r="F43" s="58">
        <v>5971.3</v>
      </c>
      <c r="G43" s="59">
        <v>135.33</v>
      </c>
      <c r="H43" s="60">
        <f>SUM(F43+G43)</f>
        <v>6106.63</v>
      </c>
      <c r="I43" s="61">
        <f>2230.99+2345.9</f>
        <v>4576.889999999999</v>
      </c>
      <c r="J43" s="61">
        <f t="shared" si="3"/>
        <v>1529.7400000000007</v>
      </c>
    </row>
    <row r="44" spans="1:10" ht="15">
      <c r="A44" s="76" t="s">
        <v>223</v>
      </c>
      <c r="B44" s="62" t="s">
        <v>229</v>
      </c>
      <c r="C44" s="26" t="s">
        <v>319</v>
      </c>
      <c r="D44" s="40" t="s">
        <v>2</v>
      </c>
      <c r="E44" s="54"/>
      <c r="F44" s="58"/>
      <c r="G44" s="59">
        <v>5700</v>
      </c>
      <c r="H44" s="60">
        <f>SUM(F44+G44)</f>
        <v>5700</v>
      </c>
      <c r="I44" s="61"/>
      <c r="J44" s="61">
        <f t="shared" si="3"/>
        <v>5700</v>
      </c>
    </row>
    <row r="45" spans="1:10" ht="15">
      <c r="A45" s="76" t="s">
        <v>265</v>
      </c>
      <c r="B45" s="62" t="s">
        <v>219</v>
      </c>
      <c r="C45" s="26" t="s">
        <v>291</v>
      </c>
      <c r="D45" s="40" t="s">
        <v>75</v>
      </c>
      <c r="E45" s="54"/>
      <c r="F45" s="58">
        <v>360</v>
      </c>
      <c r="G45" s="59"/>
      <c r="H45" s="60">
        <f>SUM(F45+G45)</f>
        <v>360</v>
      </c>
      <c r="I45" s="61"/>
      <c r="J45" s="61">
        <f t="shared" si="3"/>
        <v>360</v>
      </c>
    </row>
    <row r="46" spans="1:10" ht="15">
      <c r="A46" s="76" t="s">
        <v>265</v>
      </c>
      <c r="B46" s="62" t="s">
        <v>228</v>
      </c>
      <c r="C46" s="26" t="s">
        <v>72</v>
      </c>
      <c r="D46" s="40" t="s">
        <v>2</v>
      </c>
      <c r="E46" s="54"/>
      <c r="F46" s="58">
        <v>624.59</v>
      </c>
      <c r="G46" s="59"/>
      <c r="H46" s="60">
        <f>SUM(F46+G46)</f>
        <v>624.59</v>
      </c>
      <c r="I46" s="61">
        <v>90</v>
      </c>
      <c r="J46" s="61">
        <f t="shared" si="3"/>
        <v>534.59</v>
      </c>
    </row>
    <row r="47" spans="1:10" ht="15">
      <c r="A47" s="76"/>
      <c r="B47" s="62"/>
      <c r="C47" s="26"/>
      <c r="D47" s="40"/>
      <c r="E47" s="54" t="s">
        <v>268</v>
      </c>
      <c r="F47" s="58">
        <f>SUM(F42:F46)</f>
        <v>6955.89</v>
      </c>
      <c r="G47" s="59">
        <f>SUM(G42:G46)</f>
        <v>7755.33</v>
      </c>
      <c r="H47" s="60">
        <f>SUM(F47:G47)</f>
        <v>14711.220000000001</v>
      </c>
      <c r="I47" s="61">
        <f>SUM(I42:I46)</f>
        <v>4666.889999999999</v>
      </c>
      <c r="J47" s="61">
        <f t="shared" si="3"/>
        <v>10044.330000000002</v>
      </c>
    </row>
    <row r="48" spans="1:10" ht="15">
      <c r="A48" s="76"/>
      <c r="B48" s="62"/>
      <c r="C48" s="26"/>
      <c r="D48" s="40"/>
      <c r="E48" s="54"/>
      <c r="F48" s="58"/>
      <c r="G48" s="59"/>
      <c r="H48" s="60"/>
      <c r="I48" s="61"/>
      <c r="J48" s="61"/>
    </row>
    <row r="49" spans="1:25" s="29" customFormat="1" ht="16.5">
      <c r="A49" s="71" t="s">
        <v>224</v>
      </c>
      <c r="B49" s="64"/>
      <c r="C49" s="65" t="s">
        <v>225</v>
      </c>
      <c r="D49" s="66"/>
      <c r="E49" s="63"/>
      <c r="F49" s="67"/>
      <c r="G49" s="68"/>
      <c r="H49" s="69"/>
      <c r="I49" s="70"/>
      <c r="J49" s="7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10" ht="15">
      <c r="A50" s="76"/>
      <c r="B50" s="62"/>
      <c r="C50" s="26"/>
      <c r="D50" s="40"/>
      <c r="E50" s="49" t="s">
        <v>45</v>
      </c>
      <c r="F50" s="58">
        <f>F39+F47</f>
        <v>16997.78</v>
      </c>
      <c r="G50" s="59">
        <f>G39+G47</f>
        <v>7755.33</v>
      </c>
      <c r="H50" s="60">
        <f>F50+G50</f>
        <v>24753.11</v>
      </c>
      <c r="I50" s="61">
        <f>I39+I47</f>
        <v>4803.789999999999</v>
      </c>
      <c r="J50" s="61">
        <f>H50-I50</f>
        <v>19949.32</v>
      </c>
    </row>
    <row r="51" spans="1:10" ht="15">
      <c r="A51" s="76"/>
      <c r="B51" s="62"/>
      <c r="C51" s="26"/>
      <c r="D51" s="40"/>
      <c r="E51" s="54"/>
      <c r="F51" s="58"/>
      <c r="G51" s="59"/>
      <c r="H51" s="60"/>
      <c r="I51" s="61"/>
      <c r="J51" s="61"/>
    </row>
    <row r="52" spans="1:10" ht="15">
      <c r="A52" s="76">
        <v>44122</v>
      </c>
      <c r="B52" s="62" t="s">
        <v>229</v>
      </c>
      <c r="C52" s="26" t="s">
        <v>79</v>
      </c>
      <c r="D52" s="40" t="s">
        <v>27</v>
      </c>
      <c r="E52" s="54"/>
      <c r="F52" s="58">
        <v>0</v>
      </c>
      <c r="G52" s="59">
        <f>383518+76704-76704</f>
        <v>383518</v>
      </c>
      <c r="H52" s="60">
        <f>SUM(F52+G52)</f>
        <v>383518</v>
      </c>
      <c r="I52" s="61">
        <v>383518</v>
      </c>
      <c r="J52" s="61">
        <f>H52-I52</f>
        <v>0</v>
      </c>
    </row>
    <row r="53" spans="1:10" ht="15">
      <c r="A53" s="76" t="s">
        <v>284</v>
      </c>
      <c r="B53" s="62" t="s">
        <v>229</v>
      </c>
      <c r="C53" s="26" t="s">
        <v>285</v>
      </c>
      <c r="D53" s="40" t="s">
        <v>27</v>
      </c>
      <c r="E53" s="54"/>
      <c r="F53" s="58"/>
      <c r="G53" s="59">
        <v>6167</v>
      </c>
      <c r="H53" s="60">
        <f>SUM(F53+G53)</f>
        <v>6167</v>
      </c>
      <c r="I53" s="61">
        <v>6167</v>
      </c>
      <c r="J53" s="61">
        <f>H53-I53</f>
        <v>0</v>
      </c>
    </row>
    <row r="54" spans="1:10" ht="15">
      <c r="A54" s="76"/>
      <c r="B54" s="62"/>
      <c r="C54" s="26"/>
      <c r="D54" s="40"/>
      <c r="E54" s="54"/>
      <c r="F54" s="58"/>
      <c r="G54" s="59"/>
      <c r="H54" s="60"/>
      <c r="I54" s="61"/>
      <c r="J54" s="61"/>
    </row>
    <row r="55" spans="1:10" ht="15">
      <c r="A55" s="76">
        <v>44123</v>
      </c>
      <c r="B55" s="62" t="s">
        <v>212</v>
      </c>
      <c r="C55" s="26" t="s">
        <v>252</v>
      </c>
      <c r="D55" s="40" t="s">
        <v>27</v>
      </c>
      <c r="E55" s="54"/>
      <c r="F55" s="58">
        <v>5110</v>
      </c>
      <c r="G55" s="59"/>
      <c r="H55" s="60">
        <f>SUM(F55+G55)</f>
        <v>5110</v>
      </c>
      <c r="I55" s="61"/>
      <c r="J55" s="61">
        <f>H55-I55</f>
        <v>5110</v>
      </c>
    </row>
    <row r="56" spans="1:10" ht="15">
      <c r="A56" s="76"/>
      <c r="B56" s="62"/>
      <c r="C56" s="26"/>
      <c r="D56" s="40"/>
      <c r="E56" s="54"/>
      <c r="F56" s="58"/>
      <c r="G56" s="59"/>
      <c r="H56" s="60"/>
      <c r="I56" s="61"/>
      <c r="J56" s="61"/>
    </row>
    <row r="57" spans="1:10" ht="15">
      <c r="A57" s="76" t="s">
        <v>256</v>
      </c>
      <c r="B57" s="62" t="s">
        <v>229</v>
      </c>
      <c r="C57" s="26" t="s">
        <v>320</v>
      </c>
      <c r="D57" s="40" t="s">
        <v>27</v>
      </c>
      <c r="E57" s="54"/>
      <c r="F57" s="58"/>
      <c r="G57" s="59">
        <v>45687</v>
      </c>
      <c r="H57" s="60">
        <f aca="true" t="shared" si="4" ref="H57:H63">SUM(F57+G57)</f>
        <v>45687</v>
      </c>
      <c r="I57" s="61">
        <v>44312.2</v>
      </c>
      <c r="J57" s="61">
        <f aca="true" t="shared" si="5" ref="J57:J63">H57-I57</f>
        <v>1374.800000000003</v>
      </c>
    </row>
    <row r="58" spans="1:10" ht="15">
      <c r="A58" s="76" t="s">
        <v>256</v>
      </c>
      <c r="B58" s="62" t="s">
        <v>229</v>
      </c>
      <c r="C58" s="26" t="s">
        <v>286</v>
      </c>
      <c r="D58" s="40" t="s">
        <v>27</v>
      </c>
      <c r="E58" s="54"/>
      <c r="F58" s="58"/>
      <c r="G58" s="59">
        <v>1413</v>
      </c>
      <c r="H58" s="60">
        <f t="shared" si="4"/>
        <v>1413</v>
      </c>
      <c r="I58" s="61"/>
      <c r="J58" s="61">
        <f t="shared" si="5"/>
        <v>1413</v>
      </c>
    </row>
    <row r="59" spans="1:10" ht="15">
      <c r="A59" s="76" t="s">
        <v>256</v>
      </c>
      <c r="B59" s="62" t="s">
        <v>229</v>
      </c>
      <c r="C59" s="26" t="s">
        <v>316</v>
      </c>
      <c r="D59" s="40" t="s">
        <v>27</v>
      </c>
      <c r="E59" s="54">
        <v>5018</v>
      </c>
      <c r="F59" s="58"/>
      <c r="G59" s="59"/>
      <c r="H59" s="60">
        <f t="shared" si="4"/>
        <v>0</v>
      </c>
      <c r="I59" s="61"/>
      <c r="J59" s="61">
        <f t="shared" si="5"/>
        <v>0</v>
      </c>
    </row>
    <row r="60" spans="1:10" ht="15">
      <c r="A60" s="76" t="s">
        <v>256</v>
      </c>
      <c r="B60" s="62" t="s">
        <v>229</v>
      </c>
      <c r="C60" s="26" t="s">
        <v>269</v>
      </c>
      <c r="D60" s="40" t="s">
        <v>27</v>
      </c>
      <c r="E60" s="54">
        <v>26040</v>
      </c>
      <c r="F60" s="58"/>
      <c r="G60" s="59"/>
      <c r="H60" s="60">
        <f t="shared" si="4"/>
        <v>0</v>
      </c>
      <c r="I60" s="61"/>
      <c r="J60" s="61">
        <f t="shared" si="5"/>
        <v>0</v>
      </c>
    </row>
    <row r="61" spans="1:10" ht="15">
      <c r="A61" s="76" t="s">
        <v>256</v>
      </c>
      <c r="B61" s="62" t="s">
        <v>229</v>
      </c>
      <c r="C61" s="26" t="s">
        <v>290</v>
      </c>
      <c r="D61" s="40" t="s">
        <v>27</v>
      </c>
      <c r="E61" s="54">
        <v>4000</v>
      </c>
      <c r="F61" s="58"/>
      <c r="G61" s="59"/>
      <c r="H61" s="60">
        <f t="shared" si="4"/>
        <v>0</v>
      </c>
      <c r="I61" s="61"/>
      <c r="J61" s="61">
        <f t="shared" si="5"/>
        <v>0</v>
      </c>
    </row>
    <row r="62" spans="1:10" ht="15">
      <c r="A62" s="76" t="s">
        <v>256</v>
      </c>
      <c r="B62" s="62" t="s">
        <v>229</v>
      </c>
      <c r="C62" s="26" t="s">
        <v>257</v>
      </c>
      <c r="D62" s="40" t="s">
        <v>27</v>
      </c>
      <c r="E62" s="54"/>
      <c r="F62" s="58" t="s">
        <v>61</v>
      </c>
      <c r="G62" s="59">
        <v>36877</v>
      </c>
      <c r="H62" s="60">
        <v>36877</v>
      </c>
      <c r="I62" s="61">
        <v>36877</v>
      </c>
      <c r="J62" s="61">
        <f t="shared" si="5"/>
        <v>0</v>
      </c>
    </row>
    <row r="63" spans="1:10" ht="15">
      <c r="A63" s="76" t="s">
        <v>256</v>
      </c>
      <c r="B63" s="62" t="s">
        <v>229</v>
      </c>
      <c r="C63" s="26" t="s">
        <v>317</v>
      </c>
      <c r="D63" s="40" t="s">
        <v>27</v>
      </c>
      <c r="E63" s="54"/>
      <c r="F63" s="58"/>
      <c r="G63" s="59">
        <v>5942</v>
      </c>
      <c r="H63" s="60">
        <f t="shared" si="4"/>
        <v>5942</v>
      </c>
      <c r="I63" s="61"/>
      <c r="J63" s="61">
        <f t="shared" si="5"/>
        <v>5942</v>
      </c>
    </row>
    <row r="64" spans="1:10" ht="15">
      <c r="A64" s="76" t="s">
        <v>256</v>
      </c>
      <c r="B64" s="62" t="s">
        <v>229</v>
      </c>
      <c r="C64" s="26" t="s">
        <v>315</v>
      </c>
      <c r="D64" s="40" t="s">
        <v>27</v>
      </c>
      <c r="E64" s="54"/>
      <c r="F64" s="58"/>
      <c r="G64" s="59">
        <v>10000</v>
      </c>
      <c r="H64" s="60">
        <f>SUM(F64+G64)</f>
        <v>10000</v>
      </c>
      <c r="I64" s="61"/>
      <c r="J64" s="58">
        <f>H64-I64</f>
        <v>10000</v>
      </c>
    </row>
    <row r="65" spans="1:10" ht="15">
      <c r="A65" s="76">
        <v>44128</v>
      </c>
      <c r="B65" s="62" t="s">
        <v>230</v>
      </c>
      <c r="C65" s="26" t="s">
        <v>30</v>
      </c>
      <c r="D65" s="40" t="s">
        <v>27</v>
      </c>
      <c r="E65" s="55"/>
      <c r="F65" s="58">
        <v>37543.05</v>
      </c>
      <c r="G65" s="59"/>
      <c r="H65" s="60">
        <f aca="true" t="shared" si="6" ref="H65:H73">SUM(F65+G65)</f>
        <v>37543.05</v>
      </c>
      <c r="I65" s="61">
        <f>12209.75+9012.49</f>
        <v>21222.239999999998</v>
      </c>
      <c r="J65" s="61">
        <f aca="true" t="shared" si="7" ref="J65:J73">H65-I65</f>
        <v>16320.810000000005</v>
      </c>
    </row>
    <row r="66" spans="1:10" ht="15">
      <c r="A66" s="76" t="s">
        <v>256</v>
      </c>
      <c r="B66" s="62" t="s">
        <v>229</v>
      </c>
      <c r="C66" s="26" t="s">
        <v>318</v>
      </c>
      <c r="D66" s="40" t="s">
        <v>27</v>
      </c>
      <c r="E66" s="55">
        <v>20287</v>
      </c>
      <c r="F66" s="58"/>
      <c r="G66" s="59"/>
      <c r="H66" s="60"/>
      <c r="I66" s="61"/>
      <c r="J66" s="61">
        <f t="shared" si="7"/>
        <v>0</v>
      </c>
    </row>
    <row r="67" spans="1:10" ht="15">
      <c r="A67" s="76">
        <v>44128</v>
      </c>
      <c r="B67" s="62" t="s">
        <v>219</v>
      </c>
      <c r="C67" s="26" t="s">
        <v>288</v>
      </c>
      <c r="D67" s="40" t="s">
        <v>27</v>
      </c>
      <c r="E67" s="54"/>
      <c r="F67" s="58">
        <v>3307.74</v>
      </c>
      <c r="G67" s="59"/>
      <c r="H67" s="60">
        <f t="shared" si="6"/>
        <v>3307.74</v>
      </c>
      <c r="I67" s="61">
        <v>2935.92</v>
      </c>
      <c r="J67" s="61">
        <f t="shared" si="7"/>
        <v>371.8199999999997</v>
      </c>
    </row>
    <row r="68" spans="1:10" ht="15">
      <c r="A68" s="76">
        <v>44128</v>
      </c>
      <c r="B68" s="62" t="s">
        <v>231</v>
      </c>
      <c r="C68" s="26" t="s">
        <v>124</v>
      </c>
      <c r="D68" s="40" t="s">
        <v>27</v>
      </c>
      <c r="E68" s="54"/>
      <c r="F68" s="58">
        <v>788.19</v>
      </c>
      <c r="G68" s="59"/>
      <c r="H68" s="60">
        <f t="shared" si="6"/>
        <v>788.19</v>
      </c>
      <c r="I68" s="61">
        <v>788.19</v>
      </c>
      <c r="J68" s="61">
        <f t="shared" si="7"/>
        <v>0</v>
      </c>
    </row>
    <row r="69" spans="1:10" ht="15">
      <c r="A69" s="76">
        <v>44128</v>
      </c>
      <c r="B69" s="62" t="s">
        <v>230</v>
      </c>
      <c r="C69" s="26" t="s">
        <v>140</v>
      </c>
      <c r="D69" s="40" t="s">
        <v>27</v>
      </c>
      <c r="E69" s="54"/>
      <c r="F69" s="58">
        <v>2118.67</v>
      </c>
      <c r="G69" s="59"/>
      <c r="H69" s="60">
        <f t="shared" si="6"/>
        <v>2118.67</v>
      </c>
      <c r="I69" s="61">
        <v>1929.38</v>
      </c>
      <c r="J69" s="61">
        <f t="shared" si="7"/>
        <v>189.28999999999996</v>
      </c>
    </row>
    <row r="70" spans="1:10" ht="15">
      <c r="A70" s="76">
        <v>44128</v>
      </c>
      <c r="B70" s="62" t="s">
        <v>228</v>
      </c>
      <c r="C70" s="46" t="s">
        <v>127</v>
      </c>
      <c r="D70" s="40" t="s">
        <v>27</v>
      </c>
      <c r="E70" s="54"/>
      <c r="F70" s="58">
        <v>7502.98</v>
      </c>
      <c r="G70" s="59"/>
      <c r="H70" s="60">
        <f t="shared" si="6"/>
        <v>7502.98</v>
      </c>
      <c r="I70" s="61">
        <f>633.88+2891</f>
        <v>3524.88</v>
      </c>
      <c r="J70" s="61">
        <f t="shared" si="7"/>
        <v>3978.0999999999995</v>
      </c>
    </row>
    <row r="71" spans="1:10" ht="15">
      <c r="A71" s="76">
        <v>44128</v>
      </c>
      <c r="B71" s="62" t="s">
        <v>212</v>
      </c>
      <c r="C71" s="26" t="s">
        <v>168</v>
      </c>
      <c r="D71" s="40" t="s">
        <v>27</v>
      </c>
      <c r="E71" s="54"/>
      <c r="F71" s="58">
        <v>541.58</v>
      </c>
      <c r="G71" s="59"/>
      <c r="H71" s="60">
        <f t="shared" si="6"/>
        <v>541.58</v>
      </c>
      <c r="I71" s="61"/>
      <c r="J71" s="58">
        <f t="shared" si="7"/>
        <v>541.58</v>
      </c>
    </row>
    <row r="72" spans="1:10" ht="15">
      <c r="A72" s="76">
        <v>44128</v>
      </c>
      <c r="B72" s="62" t="s">
        <v>219</v>
      </c>
      <c r="C72" s="26" t="s">
        <v>165</v>
      </c>
      <c r="D72" s="40" t="s">
        <v>27</v>
      </c>
      <c r="E72" s="54"/>
      <c r="F72" s="58">
        <v>22200</v>
      </c>
      <c r="G72" s="59"/>
      <c r="H72" s="60">
        <f t="shared" si="6"/>
        <v>22200</v>
      </c>
      <c r="I72" s="61"/>
      <c r="J72" s="58">
        <f t="shared" si="7"/>
        <v>22200</v>
      </c>
    </row>
    <row r="73" spans="1:10" ht="15">
      <c r="A73" s="76">
        <v>44128</v>
      </c>
      <c r="B73" s="62" t="s">
        <v>219</v>
      </c>
      <c r="C73" s="26" t="s">
        <v>167</v>
      </c>
      <c r="D73" s="40" t="s">
        <v>27</v>
      </c>
      <c r="E73" s="54"/>
      <c r="F73" s="58">
        <v>19820</v>
      </c>
      <c r="G73" s="59"/>
      <c r="H73" s="60">
        <f t="shared" si="6"/>
        <v>19820</v>
      </c>
      <c r="I73" s="61"/>
      <c r="J73" s="58">
        <f t="shared" si="7"/>
        <v>19820</v>
      </c>
    </row>
    <row r="74" spans="1:10" ht="15">
      <c r="A74" s="76"/>
      <c r="B74" s="62"/>
      <c r="C74" s="26"/>
      <c r="D74" s="40"/>
      <c r="E74" s="54"/>
      <c r="F74" s="58"/>
      <c r="G74" s="59"/>
      <c r="H74" s="60"/>
      <c r="I74" s="61"/>
      <c r="J74" s="58"/>
    </row>
    <row r="75" spans="1:10" ht="15">
      <c r="A75" s="76"/>
      <c r="B75" s="62"/>
      <c r="C75" s="26"/>
      <c r="D75" s="40"/>
      <c r="E75" s="49" t="s">
        <v>46</v>
      </c>
      <c r="F75" s="58">
        <f>SUM(F57:F74)</f>
        <v>93822.21</v>
      </c>
      <c r="G75" s="58">
        <f>SUM(G57:G74)</f>
        <v>99919</v>
      </c>
      <c r="H75" s="60">
        <f>SUM(H57:H74)</f>
        <v>193741.21</v>
      </c>
      <c r="I75" s="61">
        <f>SUM(I57:I74)</f>
        <v>111589.81000000001</v>
      </c>
      <c r="J75" s="58">
        <f>H75-I75</f>
        <v>82151.39999999998</v>
      </c>
    </row>
    <row r="76" spans="1:10" ht="15">
      <c r="A76" s="76"/>
      <c r="B76" s="62"/>
      <c r="C76" s="26"/>
      <c r="D76" s="40"/>
      <c r="E76" s="49"/>
      <c r="F76" s="58"/>
      <c r="G76" s="59"/>
      <c r="H76" s="60"/>
      <c r="I76" s="61"/>
      <c r="J76" s="58"/>
    </row>
    <row r="77" spans="1:10" ht="15.75" customHeight="1">
      <c r="A77" s="76">
        <v>4413</v>
      </c>
      <c r="B77" s="62" t="s">
        <v>219</v>
      </c>
      <c r="C77" s="26" t="s">
        <v>99</v>
      </c>
      <c r="D77" s="40" t="s">
        <v>82</v>
      </c>
      <c r="E77" s="54"/>
      <c r="F77" s="58">
        <v>2.52</v>
      </c>
      <c r="G77" s="59"/>
      <c r="H77" s="60">
        <f>SUM(F77+G77)</f>
        <v>2.52</v>
      </c>
      <c r="I77" s="61"/>
      <c r="J77" s="58">
        <f>H77-I77</f>
        <v>2.52</v>
      </c>
    </row>
    <row r="78" spans="1:10" ht="15.75" customHeight="1">
      <c r="A78" s="76">
        <v>4413</v>
      </c>
      <c r="B78" s="62" t="s">
        <v>219</v>
      </c>
      <c r="C78" s="26" t="s">
        <v>250</v>
      </c>
      <c r="D78" s="40" t="s">
        <v>82</v>
      </c>
      <c r="E78" s="54"/>
      <c r="F78" s="58">
        <v>400</v>
      </c>
      <c r="G78" s="59"/>
      <c r="H78" s="60">
        <f>SUM(F78+G78)</f>
        <v>400</v>
      </c>
      <c r="I78" s="61"/>
      <c r="J78" s="58">
        <f>H78-I78</f>
        <v>400</v>
      </c>
    </row>
    <row r="79" spans="1:10" ht="15.75" customHeight="1">
      <c r="A79" s="76" t="s">
        <v>232</v>
      </c>
      <c r="B79" s="62" t="s">
        <v>212</v>
      </c>
      <c r="C79" s="26" t="s">
        <v>233</v>
      </c>
      <c r="D79" s="40" t="s">
        <v>82</v>
      </c>
      <c r="E79" s="54"/>
      <c r="F79" s="58">
        <v>234.7</v>
      </c>
      <c r="G79" s="59"/>
      <c r="H79" s="60">
        <f>SUM(F79+G79)</f>
        <v>234.7</v>
      </c>
      <c r="I79" s="61"/>
      <c r="J79" s="58">
        <f>H79-I79</f>
        <v>234.7</v>
      </c>
    </row>
    <row r="80" spans="1:10" ht="15.75" customHeight="1">
      <c r="A80" s="76" t="s">
        <v>232</v>
      </c>
      <c r="B80" s="62" t="s">
        <v>229</v>
      </c>
      <c r="C80" s="26" t="s">
        <v>274</v>
      </c>
      <c r="D80" s="40" t="s">
        <v>82</v>
      </c>
      <c r="E80" s="54"/>
      <c r="F80" s="58"/>
      <c r="G80" s="59">
        <v>1000</v>
      </c>
      <c r="H80" s="60">
        <f>SUM(F80+G80)</f>
        <v>1000</v>
      </c>
      <c r="I80" s="61"/>
      <c r="J80" s="58">
        <f>H80-I80</f>
        <v>1000</v>
      </c>
    </row>
    <row r="81" spans="1:10" ht="15.75" customHeight="1">
      <c r="A81" s="76" t="s">
        <v>232</v>
      </c>
      <c r="B81" s="62" t="s">
        <v>229</v>
      </c>
      <c r="C81" s="26" t="s">
        <v>249</v>
      </c>
      <c r="D81" s="40" t="s">
        <v>82</v>
      </c>
      <c r="E81" s="54"/>
      <c r="F81" s="58"/>
      <c r="G81" s="59">
        <v>3000</v>
      </c>
      <c r="H81" s="60">
        <f>SUM(F81+G81)</f>
        <v>3000</v>
      </c>
      <c r="I81" s="61">
        <v>3000</v>
      </c>
      <c r="J81" s="58">
        <f>H81-I81</f>
        <v>0</v>
      </c>
    </row>
    <row r="82" spans="1:10" ht="15.75" customHeight="1">
      <c r="A82" s="76"/>
      <c r="B82" s="62"/>
      <c r="C82" s="26"/>
      <c r="D82" s="40"/>
      <c r="E82" s="54"/>
      <c r="F82" s="58"/>
      <c r="G82" s="59"/>
      <c r="H82" s="60"/>
      <c r="I82" s="61"/>
      <c r="J82" s="58"/>
    </row>
    <row r="83" spans="1:10" ht="15.75" customHeight="1">
      <c r="A83" s="76"/>
      <c r="B83" s="62"/>
      <c r="C83" s="26"/>
      <c r="D83" s="40"/>
      <c r="E83" s="54" t="s">
        <v>100</v>
      </c>
      <c r="F83" s="58">
        <f>SUM(F77:F82)</f>
        <v>637.22</v>
      </c>
      <c r="G83" s="59">
        <f>SUM(G77:G82)</f>
        <v>4000</v>
      </c>
      <c r="H83" s="60">
        <f>F83+G83</f>
        <v>4637.22</v>
      </c>
      <c r="I83" s="61">
        <f>SUM(I77:I82)</f>
        <v>3000</v>
      </c>
      <c r="J83" s="58">
        <f>H83-I83</f>
        <v>1637.2200000000003</v>
      </c>
    </row>
    <row r="84" spans="1:10" ht="15">
      <c r="A84" s="76"/>
      <c r="B84" s="62"/>
      <c r="C84" s="26"/>
      <c r="D84" s="40"/>
      <c r="E84" s="54"/>
      <c r="F84" s="58"/>
      <c r="G84" s="59"/>
      <c r="H84" s="60"/>
      <c r="I84" s="61"/>
      <c r="J84" s="58"/>
    </row>
    <row r="85" spans="1:10" ht="15">
      <c r="A85" s="76">
        <v>44185</v>
      </c>
      <c r="B85" s="62" t="s">
        <v>212</v>
      </c>
      <c r="C85" s="26" t="s">
        <v>251</v>
      </c>
      <c r="D85" s="40" t="s">
        <v>31</v>
      </c>
      <c r="E85" s="54"/>
      <c r="F85" s="58">
        <v>2251.88</v>
      </c>
      <c r="G85" s="59"/>
      <c r="H85" s="60">
        <f>SUM(F85+G85)</f>
        <v>2251.88</v>
      </c>
      <c r="I85" s="61"/>
      <c r="J85" s="58">
        <f>H85-I85</f>
        <v>2251.88</v>
      </c>
    </row>
    <row r="86" spans="1:10" ht="15">
      <c r="A86" s="76"/>
      <c r="B86" s="62"/>
      <c r="C86" s="26"/>
      <c r="D86" s="40"/>
      <c r="E86" s="54"/>
      <c r="F86" s="58"/>
      <c r="G86" s="59"/>
      <c r="H86" s="60"/>
      <c r="I86" s="61"/>
      <c r="J86" s="58"/>
    </row>
    <row r="87" spans="1:10" ht="15">
      <c r="A87" s="76">
        <v>44188</v>
      </c>
      <c r="B87" s="62" t="s">
        <v>229</v>
      </c>
      <c r="C87" s="26" t="s">
        <v>36</v>
      </c>
      <c r="D87" s="40" t="s">
        <v>306</v>
      </c>
      <c r="E87" s="54"/>
      <c r="F87" s="58">
        <v>1815</v>
      </c>
      <c r="G87" s="59">
        <v>1143.92</v>
      </c>
      <c r="H87" s="60">
        <f>F87+G87</f>
        <v>2958.92</v>
      </c>
      <c r="I87" s="61">
        <v>1143.92</v>
      </c>
      <c r="J87" s="58">
        <f>H87-I87</f>
        <v>1815</v>
      </c>
    </row>
    <row r="88" spans="1:10" ht="15">
      <c r="A88" s="76"/>
      <c r="B88" s="62" t="s">
        <v>229</v>
      </c>
      <c r="C88" s="26" t="s">
        <v>308</v>
      </c>
      <c r="D88" s="40" t="s">
        <v>307</v>
      </c>
      <c r="E88" s="54"/>
      <c r="F88" s="58"/>
      <c r="G88" s="59">
        <v>128.57</v>
      </c>
      <c r="H88" s="60">
        <f>F88+G88</f>
        <v>128.57</v>
      </c>
      <c r="I88" s="61"/>
      <c r="J88" s="58">
        <f>H88-I88</f>
        <v>128.57</v>
      </c>
    </row>
    <row r="89" spans="1:10" ht="15">
      <c r="A89" s="76"/>
      <c r="B89" s="62" t="s">
        <v>229</v>
      </c>
      <c r="C89" s="26" t="s">
        <v>308</v>
      </c>
      <c r="D89" s="40" t="s">
        <v>307</v>
      </c>
      <c r="E89" s="54"/>
      <c r="F89" s="58"/>
      <c r="G89" s="59">
        <v>1236.68</v>
      </c>
      <c r="H89" s="60">
        <f>F89+G89</f>
        <v>1236.68</v>
      </c>
      <c r="I89" s="61"/>
      <c r="J89" s="58">
        <f>H89-I89</f>
        <v>1236.68</v>
      </c>
    </row>
    <row r="90" spans="1:10" ht="15">
      <c r="A90" s="76"/>
      <c r="B90" s="62"/>
      <c r="C90" s="26"/>
      <c r="D90" s="40"/>
      <c r="E90" s="54"/>
      <c r="F90" s="58"/>
      <c r="G90" s="59"/>
      <c r="H90" s="60"/>
      <c r="I90" s="61"/>
      <c r="J90" s="58"/>
    </row>
    <row r="91" spans="1:10" ht="15">
      <c r="A91" s="76"/>
      <c r="B91" s="62"/>
      <c r="C91" s="26"/>
      <c r="D91" s="40"/>
      <c r="E91" s="54" t="s">
        <v>309</v>
      </c>
      <c r="F91" s="58">
        <f>SUM(F87:F90)</f>
        <v>1815</v>
      </c>
      <c r="G91" s="58">
        <f>SUM(G87:G90)</f>
        <v>2509.17</v>
      </c>
      <c r="H91" s="58">
        <f>SUM(H87:H90)</f>
        <v>4324.17</v>
      </c>
      <c r="I91" s="58">
        <f>SUM(I87:I90)</f>
        <v>1143.92</v>
      </c>
      <c r="J91" s="58">
        <f>SUM(J87:J90)</f>
        <v>3180.25</v>
      </c>
    </row>
    <row r="92" spans="1:10" ht="15">
      <c r="A92" s="76"/>
      <c r="B92" s="62"/>
      <c r="C92" s="26"/>
      <c r="D92" s="40"/>
      <c r="E92" s="54"/>
      <c r="F92" s="58"/>
      <c r="G92" s="59"/>
      <c r="H92" s="60"/>
      <c r="I92" s="60"/>
      <c r="J92" s="58"/>
    </row>
    <row r="93" spans="1:10" ht="15">
      <c r="A93" s="76">
        <v>4621</v>
      </c>
      <c r="B93" s="62"/>
      <c r="C93" s="26" t="s">
        <v>34</v>
      </c>
      <c r="D93" s="40" t="s">
        <v>35</v>
      </c>
      <c r="E93" s="54"/>
      <c r="F93" s="58">
        <v>0</v>
      </c>
      <c r="G93" s="59">
        <f>5053+2000+3000+117+37895+17294.76+3000+18095</f>
        <v>86454.76</v>
      </c>
      <c r="H93" s="60">
        <f>SUM(F93+G93)</f>
        <v>86454.76</v>
      </c>
      <c r="I93" s="61"/>
      <c r="J93" s="58">
        <f>H93-I93</f>
        <v>86454.76</v>
      </c>
    </row>
    <row r="94" spans="1:10" ht="15">
      <c r="A94" s="76"/>
      <c r="B94" s="62"/>
      <c r="C94" s="26"/>
      <c r="D94" s="40"/>
      <c r="E94" s="54"/>
      <c r="F94" s="58"/>
      <c r="G94" s="59"/>
      <c r="H94" s="60"/>
      <c r="I94" s="61"/>
      <c r="J94" s="58"/>
    </row>
    <row r="95" spans="1:10" ht="15">
      <c r="A95" s="76" t="s">
        <v>234</v>
      </c>
      <c r="B95" s="62" t="s">
        <v>212</v>
      </c>
      <c r="C95" s="26" t="s">
        <v>103</v>
      </c>
      <c r="D95" s="40"/>
      <c r="E95" s="54"/>
      <c r="F95" s="58">
        <v>-1136</v>
      </c>
      <c r="G95" s="59">
        <f>280.9+100+100</f>
        <v>480.9</v>
      </c>
      <c r="H95" s="60">
        <f aca="true" t="shared" si="8" ref="H95:H110">SUM(F95:G95)</f>
        <v>-655.1</v>
      </c>
      <c r="I95" s="61"/>
      <c r="J95" s="58">
        <f aca="true" t="shared" si="9" ref="J95:J110">H95-I95</f>
        <v>-655.1</v>
      </c>
    </row>
    <row r="96" spans="1:10" ht="15">
      <c r="A96" s="76"/>
      <c r="B96" s="62" t="s">
        <v>212</v>
      </c>
      <c r="C96" s="26" t="s">
        <v>106</v>
      </c>
      <c r="D96" s="40"/>
      <c r="E96" s="54"/>
      <c r="F96" s="58">
        <v>-1.35</v>
      </c>
      <c r="G96" s="59"/>
      <c r="H96" s="60">
        <f t="shared" si="8"/>
        <v>-1.35</v>
      </c>
      <c r="I96" s="61"/>
      <c r="J96" s="58">
        <f t="shared" si="9"/>
        <v>-1.35</v>
      </c>
    </row>
    <row r="97" spans="1:10" ht="15">
      <c r="A97" s="76"/>
      <c r="B97" s="62" t="s">
        <v>219</v>
      </c>
      <c r="C97" s="26" t="s">
        <v>115</v>
      </c>
      <c r="D97" s="40"/>
      <c r="E97" s="54"/>
      <c r="F97" s="58">
        <v>-543.39</v>
      </c>
      <c r="G97" s="59"/>
      <c r="H97" s="60">
        <f t="shared" si="8"/>
        <v>-543.39</v>
      </c>
      <c r="I97" s="61"/>
      <c r="J97" s="58">
        <f t="shared" si="9"/>
        <v>-543.39</v>
      </c>
    </row>
    <row r="98" spans="1:10" ht="15">
      <c r="A98" s="76"/>
      <c r="B98" s="62" t="s">
        <v>219</v>
      </c>
      <c r="C98" s="26" t="s">
        <v>117</v>
      </c>
      <c r="D98" s="40"/>
      <c r="E98" s="54"/>
      <c r="F98" s="58">
        <v>-679.34</v>
      </c>
      <c r="G98" s="59">
        <f>529.34+150</f>
        <v>679.34</v>
      </c>
      <c r="H98" s="60">
        <f t="shared" si="8"/>
        <v>0</v>
      </c>
      <c r="I98" s="61"/>
      <c r="J98" s="58">
        <f t="shared" si="9"/>
        <v>0</v>
      </c>
    </row>
    <row r="99" spans="1:10" ht="15">
      <c r="A99" s="76"/>
      <c r="B99" s="62" t="s">
        <v>219</v>
      </c>
      <c r="C99" s="26" t="s">
        <v>119</v>
      </c>
      <c r="D99" s="40"/>
      <c r="E99" s="54"/>
      <c r="F99" s="58">
        <v>-260.17</v>
      </c>
      <c r="G99" s="59">
        <f>100+80+80.17</f>
        <v>260.17</v>
      </c>
      <c r="H99" s="60">
        <f t="shared" si="8"/>
        <v>0</v>
      </c>
      <c r="I99" s="61"/>
      <c r="J99" s="58">
        <f t="shared" si="9"/>
        <v>0</v>
      </c>
    </row>
    <row r="100" spans="1:10" ht="15">
      <c r="A100" s="76"/>
      <c r="B100" s="62" t="s">
        <v>219</v>
      </c>
      <c r="C100" s="26" t="s">
        <v>186</v>
      </c>
      <c r="D100" s="40"/>
      <c r="E100" s="54"/>
      <c r="F100" s="58">
        <v>-14.6</v>
      </c>
      <c r="G100" s="59">
        <v>14.6</v>
      </c>
      <c r="H100" s="60">
        <f t="shared" si="8"/>
        <v>0</v>
      </c>
      <c r="I100" s="61"/>
      <c r="J100" s="58">
        <f t="shared" si="9"/>
        <v>0</v>
      </c>
    </row>
    <row r="101" spans="1:10" ht="15">
      <c r="A101" s="76"/>
      <c r="B101" s="62" t="s">
        <v>219</v>
      </c>
      <c r="C101" s="26" t="s">
        <v>187</v>
      </c>
      <c r="D101" s="40"/>
      <c r="E101" s="54"/>
      <c r="F101" s="58">
        <v>-239.2</v>
      </c>
      <c r="G101" s="59">
        <v>239.2</v>
      </c>
      <c r="H101" s="60">
        <f t="shared" si="8"/>
        <v>0</v>
      </c>
      <c r="I101" s="61"/>
      <c r="J101" s="58">
        <f t="shared" si="9"/>
        <v>0</v>
      </c>
    </row>
    <row r="102" spans="1:10" ht="15">
      <c r="A102" s="76"/>
      <c r="B102" s="62" t="s">
        <v>219</v>
      </c>
      <c r="C102" s="26" t="s">
        <v>202</v>
      </c>
      <c r="D102" s="40"/>
      <c r="E102" s="54"/>
      <c r="F102" s="58">
        <v>-272.74</v>
      </c>
      <c r="G102" s="59">
        <v>272.74</v>
      </c>
      <c r="H102" s="60">
        <f t="shared" si="8"/>
        <v>0</v>
      </c>
      <c r="I102" s="61"/>
      <c r="J102" s="58">
        <f t="shared" si="9"/>
        <v>0</v>
      </c>
    </row>
    <row r="103" spans="1:10" ht="15">
      <c r="A103" s="76"/>
      <c r="B103" s="62" t="s">
        <v>219</v>
      </c>
      <c r="C103" s="26" t="s">
        <v>203</v>
      </c>
      <c r="D103" s="40"/>
      <c r="E103" s="54"/>
      <c r="F103" s="58">
        <v>-281.89</v>
      </c>
      <c r="G103" s="59">
        <v>281.89</v>
      </c>
      <c r="H103" s="60">
        <f t="shared" si="8"/>
        <v>0</v>
      </c>
      <c r="I103" s="61"/>
      <c r="J103" s="58">
        <f t="shared" si="9"/>
        <v>0</v>
      </c>
    </row>
    <row r="104" spans="1:10" ht="15">
      <c r="A104" s="76"/>
      <c r="B104" s="62" t="s">
        <v>219</v>
      </c>
      <c r="C104" s="26" t="s">
        <v>204</v>
      </c>
      <c r="D104" s="40"/>
      <c r="E104" s="54"/>
      <c r="F104" s="58">
        <v>-531.05</v>
      </c>
      <c r="G104" s="59">
        <v>531.05</v>
      </c>
      <c r="H104" s="60">
        <f t="shared" si="8"/>
        <v>0</v>
      </c>
      <c r="I104" s="61"/>
      <c r="J104" s="58">
        <f t="shared" si="9"/>
        <v>0</v>
      </c>
    </row>
    <row r="105" spans="1:10" ht="15">
      <c r="A105" s="76"/>
      <c r="B105" s="62" t="s">
        <v>219</v>
      </c>
      <c r="C105" s="26" t="s">
        <v>205</v>
      </c>
      <c r="D105" s="40"/>
      <c r="E105" s="54"/>
      <c r="F105" s="58">
        <v>-283.69</v>
      </c>
      <c r="G105" s="59">
        <v>283.69</v>
      </c>
      <c r="H105" s="60">
        <f t="shared" si="8"/>
        <v>0</v>
      </c>
      <c r="I105" s="61"/>
      <c r="J105" s="58">
        <f t="shared" si="9"/>
        <v>0</v>
      </c>
    </row>
    <row r="106" spans="1:10" ht="15">
      <c r="A106" s="76"/>
      <c r="B106" s="62" t="s">
        <v>219</v>
      </c>
      <c r="C106" s="26" t="s">
        <v>206</v>
      </c>
      <c r="D106" s="40"/>
      <c r="E106" s="54"/>
      <c r="F106" s="58">
        <v>-570.01</v>
      </c>
      <c r="G106" s="59">
        <v>570.01</v>
      </c>
      <c r="H106" s="60">
        <f t="shared" si="8"/>
        <v>0</v>
      </c>
      <c r="I106" s="61"/>
      <c r="J106" s="58">
        <f t="shared" si="9"/>
        <v>0</v>
      </c>
    </row>
    <row r="107" spans="1:10" ht="15">
      <c r="A107" s="76"/>
      <c r="B107" s="62" t="s">
        <v>219</v>
      </c>
      <c r="C107" s="26" t="s">
        <v>235</v>
      </c>
      <c r="D107" s="40"/>
      <c r="E107" s="54"/>
      <c r="F107" s="58">
        <v>-810.59</v>
      </c>
      <c r="G107" s="59">
        <v>810.59</v>
      </c>
      <c r="H107" s="60">
        <f t="shared" si="8"/>
        <v>0</v>
      </c>
      <c r="I107" s="61"/>
      <c r="J107" s="58">
        <f t="shared" si="9"/>
        <v>0</v>
      </c>
    </row>
    <row r="108" spans="1:10" ht="15">
      <c r="A108" s="76"/>
      <c r="B108" s="62" t="s">
        <v>219</v>
      </c>
      <c r="C108" s="26" t="s">
        <v>236</v>
      </c>
      <c r="D108" s="40"/>
      <c r="E108" s="54"/>
      <c r="F108" s="58">
        <v>-616.91</v>
      </c>
      <c r="G108" s="59">
        <f>316.91+300</f>
        <v>616.9100000000001</v>
      </c>
      <c r="H108" s="60">
        <f t="shared" si="8"/>
        <v>0</v>
      </c>
      <c r="I108" s="61"/>
      <c r="J108" s="58">
        <f t="shared" si="9"/>
        <v>0</v>
      </c>
    </row>
    <row r="109" spans="1:10" ht="15">
      <c r="A109" s="76"/>
      <c r="B109" s="62" t="s">
        <v>219</v>
      </c>
      <c r="C109" s="26" t="s">
        <v>237</v>
      </c>
      <c r="D109" s="40"/>
      <c r="E109" s="54"/>
      <c r="F109" s="58">
        <v>-74.4</v>
      </c>
      <c r="G109" s="59">
        <v>74.4</v>
      </c>
      <c r="H109" s="60">
        <f t="shared" si="8"/>
        <v>0</v>
      </c>
      <c r="I109" s="61"/>
      <c r="J109" s="58">
        <f t="shared" si="9"/>
        <v>0</v>
      </c>
    </row>
    <row r="110" spans="1:10" ht="15">
      <c r="A110" s="76"/>
      <c r="B110" s="62" t="s">
        <v>219</v>
      </c>
      <c r="C110" s="26" t="s">
        <v>238</v>
      </c>
      <c r="D110" s="40"/>
      <c r="E110" s="54"/>
      <c r="F110" s="58">
        <v>-335.51</v>
      </c>
      <c r="G110" s="59">
        <v>335.51</v>
      </c>
      <c r="H110" s="60">
        <f t="shared" si="8"/>
        <v>0</v>
      </c>
      <c r="I110" s="61"/>
      <c r="J110" s="58">
        <f t="shared" si="9"/>
        <v>0</v>
      </c>
    </row>
    <row r="111" spans="1:10" ht="15">
      <c r="A111" s="76"/>
      <c r="B111" s="62" t="s">
        <v>219</v>
      </c>
      <c r="C111" s="26" t="s">
        <v>239</v>
      </c>
      <c r="D111" s="40"/>
      <c r="E111" s="54"/>
      <c r="F111" s="58">
        <v>-256.61</v>
      </c>
      <c r="G111" s="59">
        <f>64.16+64.15+64.15+64.15</f>
        <v>256.61</v>
      </c>
      <c r="H111" s="60">
        <f>SUM(F111:G111)</f>
        <v>0</v>
      </c>
      <c r="I111" s="61"/>
      <c r="J111" s="58">
        <f>H111-I111</f>
        <v>0</v>
      </c>
    </row>
    <row r="112" spans="1:10" ht="14.25" customHeight="1">
      <c r="A112" s="76"/>
      <c r="B112" s="62"/>
      <c r="C112" s="26"/>
      <c r="D112" s="40"/>
      <c r="E112" s="54"/>
      <c r="F112" s="58"/>
      <c r="G112" s="59"/>
      <c r="H112" s="60"/>
      <c r="I112" s="61"/>
      <c r="J112" s="58"/>
    </row>
    <row r="113" spans="1:10" ht="15">
      <c r="A113" s="76"/>
      <c r="B113" s="62"/>
      <c r="C113" s="26"/>
      <c r="D113" s="40"/>
      <c r="E113" s="54" t="s">
        <v>121</v>
      </c>
      <c r="F113" s="58">
        <f>SUM(F95:F112)</f>
        <v>-6907.449999999999</v>
      </c>
      <c r="G113" s="59">
        <f>SUM(G95:G111)</f>
        <v>5707.61</v>
      </c>
      <c r="H113" s="60">
        <f>F113+G113</f>
        <v>-1199.8399999999992</v>
      </c>
      <c r="I113" s="61">
        <f>SUM(I97:I103)</f>
        <v>0</v>
      </c>
      <c r="J113" s="58">
        <f>H113-I113</f>
        <v>-1199.8399999999992</v>
      </c>
    </row>
    <row r="114" spans="1:10" ht="15">
      <c r="A114" s="76"/>
      <c r="B114" s="62"/>
      <c r="C114" s="26"/>
      <c r="D114" s="40"/>
      <c r="E114" s="54"/>
      <c r="F114" s="58"/>
      <c r="G114" s="59"/>
      <c r="H114" s="60"/>
      <c r="I114" s="61"/>
      <c r="J114" s="58"/>
    </row>
    <row r="115" spans="1:10" ht="15">
      <c r="A115" s="76" t="s">
        <v>266</v>
      </c>
      <c r="B115" s="62"/>
      <c r="C115" s="26" t="s">
        <v>275</v>
      </c>
      <c r="D115" s="40"/>
      <c r="E115" s="54"/>
      <c r="F115" s="58"/>
      <c r="G115" s="59">
        <v>184.47</v>
      </c>
      <c r="H115" s="60">
        <f aca="true" t="shared" si="10" ref="H115:H125">SUM(F115:G115)</f>
        <v>184.47</v>
      </c>
      <c r="I115" s="61">
        <v>184.47</v>
      </c>
      <c r="J115" s="58">
        <f aca="true" t="shared" si="11" ref="J115:J125">H115-I115</f>
        <v>0</v>
      </c>
    </row>
    <row r="116" spans="1:10" ht="15">
      <c r="A116" s="76" t="s">
        <v>266</v>
      </c>
      <c r="B116" s="62"/>
      <c r="C116" s="26" t="s">
        <v>276</v>
      </c>
      <c r="D116" s="40"/>
      <c r="E116" s="54"/>
      <c r="F116" s="58"/>
      <c r="G116" s="59">
        <v>100.62</v>
      </c>
      <c r="H116" s="60">
        <f t="shared" si="10"/>
        <v>100.62</v>
      </c>
      <c r="I116" s="61">
        <v>100.62</v>
      </c>
      <c r="J116" s="58">
        <f t="shared" si="11"/>
        <v>0</v>
      </c>
    </row>
    <row r="117" spans="1:10" ht="15">
      <c r="A117" s="76" t="s">
        <v>266</v>
      </c>
      <c r="B117" s="62" t="s">
        <v>229</v>
      </c>
      <c r="C117" s="26" t="s">
        <v>298</v>
      </c>
      <c r="D117" s="40"/>
      <c r="E117" s="54"/>
      <c r="F117" s="58"/>
      <c r="G117" s="59">
        <f>90+30+330</f>
        <v>450</v>
      </c>
      <c r="H117" s="60">
        <f t="shared" si="10"/>
        <v>450</v>
      </c>
      <c r="I117" s="61">
        <f>210+240</f>
        <v>450</v>
      </c>
      <c r="J117" s="58">
        <f t="shared" si="11"/>
        <v>0</v>
      </c>
    </row>
    <row r="118" spans="1:10" ht="15">
      <c r="A118" s="76" t="s">
        <v>266</v>
      </c>
      <c r="B118" s="62" t="s">
        <v>229</v>
      </c>
      <c r="C118" s="26" t="s">
        <v>299</v>
      </c>
      <c r="D118" s="40"/>
      <c r="E118" s="54"/>
      <c r="F118" s="58"/>
      <c r="G118" s="59">
        <v>7633.63</v>
      </c>
      <c r="H118" s="60">
        <f t="shared" si="10"/>
        <v>7633.63</v>
      </c>
      <c r="I118" s="61">
        <v>7633.63</v>
      </c>
      <c r="J118" s="58">
        <f t="shared" si="11"/>
        <v>0</v>
      </c>
    </row>
    <row r="119" spans="1:10" ht="15">
      <c r="A119" s="76" t="s">
        <v>266</v>
      </c>
      <c r="B119" s="62" t="s">
        <v>229</v>
      </c>
      <c r="C119" s="26" t="s">
        <v>300</v>
      </c>
      <c r="D119" s="40"/>
      <c r="E119" s="54"/>
      <c r="F119" s="58"/>
      <c r="G119" s="59"/>
      <c r="H119" s="60">
        <f t="shared" si="10"/>
        <v>0</v>
      </c>
      <c r="I119" s="61">
        <v>2217.66</v>
      </c>
      <c r="J119" s="58">
        <f t="shared" si="11"/>
        <v>-2217.66</v>
      </c>
    </row>
    <row r="120" spans="1:10" ht="15">
      <c r="A120" s="76" t="s">
        <v>266</v>
      </c>
      <c r="B120" s="62" t="s">
        <v>229</v>
      </c>
      <c r="C120" s="26" t="s">
        <v>301</v>
      </c>
      <c r="D120" s="40"/>
      <c r="E120" s="54"/>
      <c r="F120" s="58"/>
      <c r="G120" s="59">
        <v>42.86</v>
      </c>
      <c r="H120" s="60">
        <f t="shared" si="10"/>
        <v>42.86</v>
      </c>
      <c r="I120" s="61">
        <v>42.86</v>
      </c>
      <c r="J120" s="58">
        <f t="shared" si="11"/>
        <v>0</v>
      </c>
    </row>
    <row r="121" spans="1:10" ht="15">
      <c r="A121" s="76" t="s">
        <v>266</v>
      </c>
      <c r="B121" s="62" t="s">
        <v>229</v>
      </c>
      <c r="C121" s="26" t="s">
        <v>302</v>
      </c>
      <c r="D121" s="40"/>
      <c r="E121" s="54"/>
      <c r="F121" s="58"/>
      <c r="G121" s="59">
        <v>189.56</v>
      </c>
      <c r="H121" s="60">
        <f t="shared" si="10"/>
        <v>189.56</v>
      </c>
      <c r="I121" s="61">
        <v>189.56</v>
      </c>
      <c r="J121" s="58">
        <f t="shared" si="11"/>
        <v>0</v>
      </c>
    </row>
    <row r="122" spans="1:10" ht="15">
      <c r="A122" s="76" t="s">
        <v>266</v>
      </c>
      <c r="B122" s="62" t="s">
        <v>229</v>
      </c>
      <c r="C122" s="26" t="s">
        <v>303</v>
      </c>
      <c r="D122" s="40"/>
      <c r="E122" s="54"/>
      <c r="F122" s="58"/>
      <c r="G122" s="59">
        <v>283.28</v>
      </c>
      <c r="H122" s="60">
        <f t="shared" si="10"/>
        <v>283.28</v>
      </c>
      <c r="I122" s="61">
        <v>283.28</v>
      </c>
      <c r="J122" s="58">
        <f t="shared" si="11"/>
        <v>0</v>
      </c>
    </row>
    <row r="123" spans="1:10" ht="15">
      <c r="A123" s="76" t="s">
        <v>266</v>
      </c>
      <c r="B123" s="62" t="s">
        <v>229</v>
      </c>
      <c r="C123" s="26" t="s">
        <v>323</v>
      </c>
      <c r="D123" s="40"/>
      <c r="E123" s="54"/>
      <c r="F123" s="58"/>
      <c r="G123" s="59"/>
      <c r="H123" s="60">
        <f t="shared" si="10"/>
        <v>0</v>
      </c>
      <c r="I123" s="61">
        <v>357.5</v>
      </c>
      <c r="J123" s="58">
        <f t="shared" si="11"/>
        <v>-357.5</v>
      </c>
    </row>
    <row r="124" spans="1:10" ht="15">
      <c r="A124" s="76" t="s">
        <v>266</v>
      </c>
      <c r="B124" s="62" t="s">
        <v>229</v>
      </c>
      <c r="C124" s="26" t="s">
        <v>322</v>
      </c>
      <c r="D124" s="40"/>
      <c r="E124" s="54"/>
      <c r="F124" s="58"/>
      <c r="G124" s="59"/>
      <c r="H124" s="60">
        <f t="shared" si="10"/>
        <v>0</v>
      </c>
      <c r="I124" s="61">
        <v>270</v>
      </c>
      <c r="J124" s="58">
        <f t="shared" si="11"/>
        <v>-270</v>
      </c>
    </row>
    <row r="125" spans="1:10" ht="15">
      <c r="A125" s="76" t="s">
        <v>266</v>
      </c>
      <c r="B125" s="62" t="s">
        <v>229</v>
      </c>
      <c r="C125" s="26" t="s">
        <v>321</v>
      </c>
      <c r="D125" s="40"/>
      <c r="E125" s="54"/>
      <c r="F125" s="58"/>
      <c r="G125" s="59"/>
      <c r="H125" s="60">
        <f t="shared" si="10"/>
        <v>0</v>
      </c>
      <c r="I125" s="61">
        <v>550</v>
      </c>
      <c r="J125" s="58">
        <f t="shared" si="11"/>
        <v>-550</v>
      </c>
    </row>
    <row r="126" spans="1:10" ht="15">
      <c r="A126" s="76"/>
      <c r="B126" s="62"/>
      <c r="C126" s="26"/>
      <c r="D126" s="40"/>
      <c r="E126" s="54"/>
      <c r="F126" s="58"/>
      <c r="G126" s="59"/>
      <c r="H126" s="60"/>
      <c r="I126" s="61"/>
      <c r="J126" s="58"/>
    </row>
    <row r="127" spans="1:10" ht="15">
      <c r="A127" s="76"/>
      <c r="B127" s="62"/>
      <c r="C127" s="26"/>
      <c r="D127" s="40"/>
      <c r="E127" s="54" t="s">
        <v>121</v>
      </c>
      <c r="F127" s="58"/>
      <c r="G127" s="61">
        <f>SUM(G115:G126)</f>
        <v>8884.42</v>
      </c>
      <c r="H127" s="61">
        <f>SUM(H115:H126)</f>
        <v>8884.42</v>
      </c>
      <c r="I127" s="61">
        <f>SUM(I115:I126)</f>
        <v>12279.58</v>
      </c>
      <c r="J127" s="58">
        <f>SUM(J115:J126)</f>
        <v>-3395.16</v>
      </c>
    </row>
    <row r="128" spans="1:10" ht="15">
      <c r="A128" s="76"/>
      <c r="B128" s="62"/>
      <c r="C128" s="26"/>
      <c r="D128" s="40"/>
      <c r="E128" s="54"/>
      <c r="F128" s="58"/>
      <c r="G128" s="59"/>
      <c r="H128" s="60"/>
      <c r="I128" s="61"/>
      <c r="J128" s="58"/>
    </row>
    <row r="129" spans="1:10" ht="15">
      <c r="A129" s="76"/>
      <c r="B129" s="62"/>
      <c r="C129" s="26"/>
      <c r="D129" s="40"/>
      <c r="E129" s="54"/>
      <c r="F129" s="58"/>
      <c r="G129" s="59"/>
      <c r="H129" s="60"/>
      <c r="I129" s="61"/>
      <c r="J129" s="58"/>
    </row>
    <row r="130" spans="1:10" ht="15">
      <c r="A130" s="76">
        <v>4663</v>
      </c>
      <c r="B130" s="62" t="s">
        <v>219</v>
      </c>
      <c r="C130" s="26" t="s">
        <v>185</v>
      </c>
      <c r="D130" s="40"/>
      <c r="E130" s="54"/>
      <c r="F130" s="58">
        <v>20.1</v>
      </c>
      <c r="G130" s="59"/>
      <c r="H130" s="60">
        <f aca="true" t="shared" si="12" ref="H130:H136">SUM(F130:G130)</f>
        <v>20.1</v>
      </c>
      <c r="I130" s="61">
        <v>20.1</v>
      </c>
      <c r="J130" s="58">
        <f aca="true" t="shared" si="13" ref="J130:J136">H130-I130</f>
        <v>0</v>
      </c>
    </row>
    <row r="131" spans="1:10" ht="15">
      <c r="A131" s="76">
        <v>4663</v>
      </c>
      <c r="B131" s="62" t="s">
        <v>229</v>
      </c>
      <c r="C131" s="26" t="s">
        <v>207</v>
      </c>
      <c r="D131" s="40"/>
      <c r="E131" s="54"/>
      <c r="F131" s="58"/>
      <c r="G131" s="59">
        <v>10</v>
      </c>
      <c r="H131" s="60">
        <f t="shared" si="12"/>
        <v>10</v>
      </c>
      <c r="I131" s="61">
        <v>10</v>
      </c>
      <c r="J131" s="58">
        <f t="shared" si="13"/>
        <v>0</v>
      </c>
    </row>
    <row r="132" spans="1:10" ht="15">
      <c r="A132" s="76">
        <v>4663</v>
      </c>
      <c r="B132" s="62" t="s">
        <v>229</v>
      </c>
      <c r="C132" s="26" t="s">
        <v>208</v>
      </c>
      <c r="D132" s="40"/>
      <c r="E132" s="54"/>
      <c r="F132" s="58"/>
      <c r="G132" s="59">
        <v>69</v>
      </c>
      <c r="H132" s="60">
        <f t="shared" si="12"/>
        <v>69</v>
      </c>
      <c r="I132" s="61">
        <v>69</v>
      </c>
      <c r="J132" s="58">
        <f t="shared" si="13"/>
        <v>0</v>
      </c>
    </row>
    <row r="133" spans="1:10" ht="15">
      <c r="A133" s="76">
        <v>4663</v>
      </c>
      <c r="B133" s="62" t="s">
        <v>229</v>
      </c>
      <c r="C133" s="26" t="s">
        <v>207</v>
      </c>
      <c r="D133" s="40"/>
      <c r="E133" s="54"/>
      <c r="F133" s="58"/>
      <c r="G133" s="59">
        <v>21.8</v>
      </c>
      <c r="H133" s="60">
        <f t="shared" si="12"/>
        <v>21.8</v>
      </c>
      <c r="I133" s="61">
        <v>21.8</v>
      </c>
      <c r="J133" s="58">
        <f t="shared" si="13"/>
        <v>0</v>
      </c>
    </row>
    <row r="134" spans="1:10" ht="15">
      <c r="A134" s="76" t="s">
        <v>253</v>
      </c>
      <c r="B134" s="62" t="s">
        <v>254</v>
      </c>
      <c r="C134" s="26" t="s">
        <v>255</v>
      </c>
      <c r="D134" s="40"/>
      <c r="E134" s="54"/>
      <c r="F134" s="58"/>
      <c r="G134" s="59">
        <v>135.7</v>
      </c>
      <c r="H134" s="60">
        <f t="shared" si="12"/>
        <v>135.7</v>
      </c>
      <c r="I134" s="61">
        <v>135.7</v>
      </c>
      <c r="J134" s="58">
        <f t="shared" si="13"/>
        <v>0</v>
      </c>
    </row>
    <row r="135" spans="1:10" ht="15">
      <c r="A135" s="76" t="s">
        <v>253</v>
      </c>
      <c r="B135" s="62" t="s">
        <v>313</v>
      </c>
      <c r="C135" s="26" t="s">
        <v>314</v>
      </c>
      <c r="D135" s="40"/>
      <c r="E135" s="54"/>
      <c r="F135" s="58"/>
      <c r="G135" s="59">
        <v>11.19</v>
      </c>
      <c r="H135" s="60">
        <f t="shared" si="12"/>
        <v>11.19</v>
      </c>
      <c r="I135" s="61">
        <v>11.19</v>
      </c>
      <c r="J135" s="58">
        <f t="shared" si="13"/>
        <v>0</v>
      </c>
    </row>
    <row r="136" spans="1:10" ht="15">
      <c r="A136" s="76" t="s">
        <v>253</v>
      </c>
      <c r="B136" s="62" t="s">
        <v>311</v>
      </c>
      <c r="C136" s="26" t="s">
        <v>312</v>
      </c>
      <c r="D136" s="40"/>
      <c r="E136" s="54"/>
      <c r="F136" s="58"/>
      <c r="G136" s="59">
        <v>26.34</v>
      </c>
      <c r="H136" s="60">
        <f t="shared" si="12"/>
        <v>26.34</v>
      </c>
      <c r="I136" s="61">
        <v>26.34</v>
      </c>
      <c r="J136" s="58">
        <f t="shared" si="13"/>
        <v>0</v>
      </c>
    </row>
    <row r="137" spans="1:10" ht="15">
      <c r="A137" s="76"/>
      <c r="B137" s="62"/>
      <c r="C137" s="26"/>
      <c r="D137" s="40"/>
      <c r="E137" s="54"/>
      <c r="F137" s="58"/>
      <c r="G137" s="59"/>
      <c r="H137" s="60"/>
      <c r="I137" s="61"/>
      <c r="J137" s="58"/>
    </row>
    <row r="138" spans="1:10" ht="15">
      <c r="A138" s="76"/>
      <c r="B138" s="62"/>
      <c r="C138" s="26"/>
      <c r="D138" s="40"/>
      <c r="E138" s="54" t="s">
        <v>113</v>
      </c>
      <c r="F138" s="58">
        <f>SUM(D130:F137)</f>
        <v>20.1</v>
      </c>
      <c r="G138" s="59">
        <f>SUM(G130:G137)</f>
        <v>274.03</v>
      </c>
      <c r="H138" s="60">
        <f>F138+G138</f>
        <v>294.13</v>
      </c>
      <c r="I138" s="61">
        <f>SUM(I130:I137)</f>
        <v>294.12999999999994</v>
      </c>
      <c r="J138" s="58">
        <f>H138-I138</f>
        <v>0</v>
      </c>
    </row>
    <row r="139" spans="1:10" ht="15">
      <c r="A139" s="76"/>
      <c r="B139" s="62"/>
      <c r="C139" s="26"/>
      <c r="D139" s="40"/>
      <c r="E139" s="54"/>
      <c r="F139" s="58"/>
      <c r="G139" s="59"/>
      <c r="H139" s="60"/>
      <c r="I139" s="61"/>
      <c r="J139" s="58"/>
    </row>
    <row r="140" spans="1:10" ht="15">
      <c r="A140" s="76">
        <v>4664</v>
      </c>
      <c r="B140" s="62" t="s">
        <v>219</v>
      </c>
      <c r="C140" s="26" t="s">
        <v>172</v>
      </c>
      <c r="D140" s="40"/>
      <c r="E140" s="54"/>
      <c r="F140" s="58">
        <v>156</v>
      </c>
      <c r="G140" s="59"/>
      <c r="H140" s="60">
        <f aca="true" t="shared" si="14" ref="H140:H151">SUM(F140:G140)</f>
        <v>156</v>
      </c>
      <c r="I140" s="61">
        <v>156</v>
      </c>
      <c r="J140" s="58">
        <f aca="true" t="shared" si="15" ref="J140:J151">H140-I140</f>
        <v>0</v>
      </c>
    </row>
    <row r="141" spans="1:10" ht="15">
      <c r="A141" s="76">
        <v>4664</v>
      </c>
      <c r="B141" s="62" t="s">
        <v>219</v>
      </c>
      <c r="C141" s="26" t="s">
        <v>171</v>
      </c>
      <c r="D141" s="40"/>
      <c r="E141" s="54"/>
      <c r="F141" s="58">
        <v>79.08</v>
      </c>
      <c r="G141" s="59"/>
      <c r="H141" s="60">
        <f t="shared" si="14"/>
        <v>79.08</v>
      </c>
      <c r="I141" s="61">
        <v>79.08</v>
      </c>
      <c r="J141" s="58">
        <f t="shared" si="15"/>
        <v>0</v>
      </c>
    </row>
    <row r="142" spans="1:10" ht="15">
      <c r="A142" s="76">
        <v>4664</v>
      </c>
      <c r="B142" s="62" t="s">
        <v>219</v>
      </c>
      <c r="C142" s="26" t="s">
        <v>174</v>
      </c>
      <c r="D142" s="40"/>
      <c r="E142" s="54"/>
      <c r="F142" s="58">
        <v>148.19</v>
      </c>
      <c r="G142" s="59"/>
      <c r="H142" s="60">
        <f t="shared" si="14"/>
        <v>148.19</v>
      </c>
      <c r="I142" s="61">
        <v>148.19</v>
      </c>
      <c r="J142" s="58">
        <f t="shared" si="15"/>
        <v>0</v>
      </c>
    </row>
    <row r="143" spans="1:10" ht="15">
      <c r="A143" s="76">
        <v>4664</v>
      </c>
      <c r="B143" s="62" t="s">
        <v>219</v>
      </c>
      <c r="C143" s="26" t="s">
        <v>175</v>
      </c>
      <c r="D143" s="40"/>
      <c r="E143" s="54"/>
      <c r="F143" s="58">
        <v>48.19</v>
      </c>
      <c r="G143" s="59"/>
      <c r="H143" s="60">
        <f t="shared" si="14"/>
        <v>48.19</v>
      </c>
      <c r="I143" s="61">
        <v>48.19</v>
      </c>
      <c r="J143" s="58">
        <f t="shared" si="15"/>
        <v>0</v>
      </c>
    </row>
    <row r="144" spans="1:10" ht="15">
      <c r="A144" s="76">
        <v>4664</v>
      </c>
      <c r="B144" s="62" t="s">
        <v>219</v>
      </c>
      <c r="C144" s="26" t="s">
        <v>176</v>
      </c>
      <c r="D144" s="40"/>
      <c r="E144" s="54"/>
      <c r="F144" s="58">
        <v>148.19</v>
      </c>
      <c r="G144" s="59"/>
      <c r="H144" s="60">
        <f t="shared" si="14"/>
        <v>148.19</v>
      </c>
      <c r="I144" s="61">
        <v>148.19</v>
      </c>
      <c r="J144" s="58">
        <f t="shared" si="15"/>
        <v>0</v>
      </c>
    </row>
    <row r="145" spans="1:10" ht="15">
      <c r="A145" s="76">
        <v>4664</v>
      </c>
      <c r="B145" s="62" t="s">
        <v>219</v>
      </c>
      <c r="C145" s="26" t="s">
        <v>177</v>
      </c>
      <c r="D145" s="40"/>
      <c r="E145" s="54"/>
      <c r="F145" s="58">
        <v>48.19</v>
      </c>
      <c r="G145" s="59"/>
      <c r="H145" s="60">
        <f t="shared" si="14"/>
        <v>48.19</v>
      </c>
      <c r="I145" s="61">
        <v>48.19</v>
      </c>
      <c r="J145" s="58">
        <f t="shared" si="15"/>
        <v>0</v>
      </c>
    </row>
    <row r="146" spans="1:10" ht="15">
      <c r="A146" s="76" t="s">
        <v>244</v>
      </c>
      <c r="B146" s="62" t="s">
        <v>219</v>
      </c>
      <c r="C146" s="26" t="s">
        <v>243</v>
      </c>
      <c r="D146" s="40"/>
      <c r="E146" s="54"/>
      <c r="F146" s="58">
        <v>189</v>
      </c>
      <c r="G146" s="59"/>
      <c r="H146" s="60">
        <f t="shared" si="14"/>
        <v>189</v>
      </c>
      <c r="I146" s="61">
        <v>189</v>
      </c>
      <c r="J146" s="58">
        <f t="shared" si="15"/>
        <v>0</v>
      </c>
    </row>
    <row r="147" spans="1:10" ht="15">
      <c r="A147" s="76" t="s">
        <v>244</v>
      </c>
      <c r="B147" s="62" t="s">
        <v>229</v>
      </c>
      <c r="C147" s="26" t="s">
        <v>271</v>
      </c>
      <c r="D147" s="40"/>
      <c r="E147" s="54"/>
      <c r="F147" s="58"/>
      <c r="G147" s="59">
        <v>74</v>
      </c>
      <c r="H147" s="60">
        <f t="shared" si="14"/>
        <v>74</v>
      </c>
      <c r="I147" s="61">
        <v>74</v>
      </c>
      <c r="J147" s="58">
        <f t="shared" si="15"/>
        <v>0</v>
      </c>
    </row>
    <row r="148" spans="1:10" ht="15">
      <c r="A148" s="76" t="s">
        <v>244</v>
      </c>
      <c r="B148" s="62" t="s">
        <v>229</v>
      </c>
      <c r="C148" s="26" t="s">
        <v>272</v>
      </c>
      <c r="D148" s="40"/>
      <c r="E148" s="54"/>
      <c r="F148" s="58"/>
      <c r="G148" s="59">
        <v>74</v>
      </c>
      <c r="H148" s="60">
        <f t="shared" si="14"/>
        <v>74</v>
      </c>
      <c r="I148" s="61">
        <v>74</v>
      </c>
      <c r="J148" s="58">
        <f t="shared" si="15"/>
        <v>0</v>
      </c>
    </row>
    <row r="149" spans="1:10" ht="15">
      <c r="A149" s="76" t="s">
        <v>244</v>
      </c>
      <c r="B149" s="62" t="s">
        <v>229</v>
      </c>
      <c r="C149" s="26" t="s">
        <v>273</v>
      </c>
      <c r="D149" s="40"/>
      <c r="E149" s="54"/>
      <c r="F149" s="58"/>
      <c r="G149" s="59">
        <v>74</v>
      </c>
      <c r="H149" s="60">
        <f t="shared" si="14"/>
        <v>74</v>
      </c>
      <c r="I149" s="61">
        <v>74</v>
      </c>
      <c r="J149" s="58">
        <f t="shared" si="15"/>
        <v>0</v>
      </c>
    </row>
    <row r="150" spans="1:10" ht="15">
      <c r="A150" s="76" t="s">
        <v>244</v>
      </c>
      <c r="B150" s="62" t="s">
        <v>229</v>
      </c>
      <c r="C150" s="26" t="s">
        <v>305</v>
      </c>
      <c r="D150" s="40"/>
      <c r="E150" s="54"/>
      <c r="F150" s="58"/>
      <c r="G150" s="59">
        <v>1732.32</v>
      </c>
      <c r="H150" s="60">
        <f t="shared" si="14"/>
        <v>1732.32</v>
      </c>
      <c r="I150" s="61">
        <f>1906.2-74*3+48.12</f>
        <v>1732.32</v>
      </c>
      <c r="J150" s="58">
        <f t="shared" si="15"/>
        <v>0</v>
      </c>
    </row>
    <row r="151" spans="1:10" ht="15">
      <c r="A151" s="76" t="s">
        <v>244</v>
      </c>
      <c r="B151" s="62" t="s">
        <v>229</v>
      </c>
      <c r="C151" s="26" t="s">
        <v>304</v>
      </c>
      <c r="D151" s="40"/>
      <c r="E151" s="54"/>
      <c r="F151" s="58"/>
      <c r="G151" s="59">
        <v>1817.9</v>
      </c>
      <c r="H151" s="60">
        <f t="shared" si="14"/>
        <v>1817.9</v>
      </c>
      <c r="I151" s="61">
        <v>1421.42</v>
      </c>
      <c r="J151" s="58">
        <f t="shared" si="15"/>
        <v>396.48</v>
      </c>
    </row>
    <row r="152" spans="1:10" ht="15">
      <c r="A152" s="76"/>
      <c r="B152" s="62"/>
      <c r="C152" s="26"/>
      <c r="D152" s="40"/>
      <c r="E152" s="54"/>
      <c r="F152" s="58"/>
      <c r="G152" s="59"/>
      <c r="H152" s="60"/>
      <c r="I152" s="61"/>
      <c r="J152" s="58"/>
    </row>
    <row r="153" spans="1:10" ht="15">
      <c r="A153" s="76"/>
      <c r="B153" s="62"/>
      <c r="C153" s="26"/>
      <c r="D153" s="40"/>
      <c r="E153" s="54" t="s">
        <v>179</v>
      </c>
      <c r="F153" s="58">
        <f>SUM(F140:F152)</f>
        <v>816.8399999999999</v>
      </c>
      <c r="G153" s="59">
        <f>SUM(G140:G152)</f>
        <v>3772.2200000000003</v>
      </c>
      <c r="H153" s="60">
        <f>SUM(F153:G153)</f>
        <v>4589.06</v>
      </c>
      <c r="I153" s="60">
        <f>SUM(I140:I152)</f>
        <v>4192.58</v>
      </c>
      <c r="J153" s="58">
        <f>H153-I153</f>
        <v>396.4800000000005</v>
      </c>
    </row>
    <row r="154" spans="1:10" ht="15">
      <c r="A154" s="76"/>
      <c r="B154" s="62"/>
      <c r="C154" s="26"/>
      <c r="D154" s="40"/>
      <c r="E154" s="54"/>
      <c r="F154" s="58"/>
      <c r="G154" s="59"/>
      <c r="H154" s="60"/>
      <c r="I154" s="61"/>
      <c r="J154" s="58"/>
    </row>
    <row r="155" spans="1:10" ht="15">
      <c r="A155" s="76">
        <v>4672</v>
      </c>
      <c r="B155" s="62"/>
      <c r="C155" s="26" t="s">
        <v>38</v>
      </c>
      <c r="D155" s="40"/>
      <c r="E155" s="54"/>
      <c r="F155" s="58">
        <v>495.26</v>
      </c>
      <c r="G155" s="59"/>
      <c r="H155" s="60">
        <f>SUM(F155+G155)</f>
        <v>495.26</v>
      </c>
      <c r="I155" s="61"/>
      <c r="J155" s="58">
        <f>H155-I155</f>
        <v>495.26</v>
      </c>
    </row>
    <row r="156" spans="1:10" ht="15">
      <c r="A156" s="76"/>
      <c r="B156" s="62"/>
      <c r="C156" s="26"/>
      <c r="D156" s="40"/>
      <c r="E156" s="54"/>
      <c r="F156" s="58"/>
      <c r="G156" s="59"/>
      <c r="H156" s="60"/>
      <c r="I156" s="61"/>
      <c r="J156" s="58"/>
    </row>
    <row r="157" spans="1:10" ht="15">
      <c r="A157" s="76" t="s">
        <v>281</v>
      </c>
      <c r="B157" s="62" t="s">
        <v>229</v>
      </c>
      <c r="C157" s="26" t="s">
        <v>283</v>
      </c>
      <c r="D157" s="40" t="s">
        <v>27</v>
      </c>
      <c r="E157" s="54"/>
      <c r="F157" s="58"/>
      <c r="G157" s="59">
        <f>1174.2+782.8</f>
        <v>1957</v>
      </c>
      <c r="H157" s="60">
        <f>F157+G157</f>
        <v>1957</v>
      </c>
      <c r="I157" s="61">
        <v>1957</v>
      </c>
      <c r="J157" s="58">
        <f>H157-I157</f>
        <v>0</v>
      </c>
    </row>
    <row r="158" spans="1:10" ht="15">
      <c r="A158" s="76"/>
      <c r="B158" s="62"/>
      <c r="C158" s="26"/>
      <c r="D158" s="40"/>
      <c r="E158" s="54"/>
      <c r="F158" s="58"/>
      <c r="G158" s="59"/>
      <c r="H158" s="60"/>
      <c r="I158" s="61"/>
      <c r="J158" s="58"/>
    </row>
    <row r="159" spans="1:10" ht="15">
      <c r="A159" s="76" t="s">
        <v>277</v>
      </c>
      <c r="B159" s="62" t="s">
        <v>229</v>
      </c>
      <c r="C159" s="26" t="s">
        <v>278</v>
      </c>
      <c r="D159" s="40" t="s">
        <v>27</v>
      </c>
      <c r="E159" s="54"/>
      <c r="F159" s="58"/>
      <c r="G159" s="59">
        <f>600+400</f>
        <v>1000</v>
      </c>
      <c r="H159" s="60">
        <f>F159+G159</f>
        <v>1000</v>
      </c>
      <c r="I159" s="61">
        <v>1000</v>
      </c>
      <c r="J159" s="58">
        <f>H159-I159</f>
        <v>0</v>
      </c>
    </row>
    <row r="160" spans="1:10" ht="15">
      <c r="A160" s="76"/>
      <c r="B160" s="62"/>
      <c r="C160" s="26"/>
      <c r="D160" s="40"/>
      <c r="E160" s="54"/>
      <c r="F160" s="58"/>
      <c r="G160" s="59"/>
      <c r="H160" s="60"/>
      <c r="I160" s="61"/>
      <c r="J160" s="58"/>
    </row>
    <row r="161" spans="1:10" ht="15">
      <c r="A161" s="76" t="s">
        <v>282</v>
      </c>
      <c r="B161" s="62" t="s">
        <v>229</v>
      </c>
      <c r="C161" s="26" t="s">
        <v>283</v>
      </c>
      <c r="D161" s="40" t="s">
        <v>27</v>
      </c>
      <c r="E161" s="54"/>
      <c r="F161" s="58"/>
      <c r="G161" s="59">
        <v>1957</v>
      </c>
      <c r="H161" s="60">
        <f>SUM(F161:G161)</f>
        <v>1957</v>
      </c>
      <c r="I161" s="61">
        <v>1957</v>
      </c>
      <c r="J161" s="58">
        <f>H161-I161</f>
        <v>0</v>
      </c>
    </row>
    <row r="162" spans="1:10" ht="15">
      <c r="A162" s="76"/>
      <c r="B162" s="62"/>
      <c r="C162" s="26"/>
      <c r="D162" s="40"/>
      <c r="E162" s="54"/>
      <c r="F162" s="58"/>
      <c r="G162" s="59"/>
      <c r="H162" s="60"/>
      <c r="I162" s="61"/>
      <c r="J162" s="58"/>
    </row>
    <row r="163" spans="1:10" ht="15">
      <c r="A163" s="76" t="s">
        <v>241</v>
      </c>
      <c r="B163" s="62" t="s">
        <v>240</v>
      </c>
      <c r="C163" s="26" t="s">
        <v>246</v>
      </c>
      <c r="D163" s="40" t="s">
        <v>26</v>
      </c>
      <c r="E163" s="54"/>
      <c r="F163" s="58">
        <v>720.32</v>
      </c>
      <c r="G163" s="59"/>
      <c r="H163" s="60">
        <f>SUM(F163+G163)</f>
        <v>720.32</v>
      </c>
      <c r="I163" s="61">
        <v>720.32</v>
      </c>
      <c r="J163" s="58">
        <f>H163-I163</f>
        <v>0</v>
      </c>
    </row>
    <row r="164" spans="1:10" ht="15">
      <c r="A164" s="76" t="s">
        <v>241</v>
      </c>
      <c r="B164" s="62" t="s">
        <v>212</v>
      </c>
      <c r="C164" s="26" t="s">
        <v>80</v>
      </c>
      <c r="D164" s="40" t="s">
        <v>27</v>
      </c>
      <c r="E164" s="54" t="s">
        <v>102</v>
      </c>
      <c r="F164" s="58">
        <v>188.32</v>
      </c>
      <c r="G164" s="59"/>
      <c r="H164" s="60">
        <f>SUM(F164+G164)</f>
        <v>188.32</v>
      </c>
      <c r="I164" s="61">
        <v>87.28</v>
      </c>
      <c r="J164" s="58">
        <f>H164-I164</f>
        <v>101.03999999999999</v>
      </c>
    </row>
    <row r="165" spans="1:10" ht="15">
      <c r="A165" s="76" t="s">
        <v>241</v>
      </c>
      <c r="B165" s="62" t="s">
        <v>219</v>
      </c>
      <c r="C165" s="26" t="s">
        <v>158</v>
      </c>
      <c r="D165" s="40" t="s">
        <v>2</v>
      </c>
      <c r="E165" s="54"/>
      <c r="F165" s="58">
        <v>2420</v>
      </c>
      <c r="G165" s="59"/>
      <c r="H165" s="60">
        <f>SUM(F165+G165)</f>
        <v>2420</v>
      </c>
      <c r="I165" s="61">
        <v>2420</v>
      </c>
      <c r="J165" s="58">
        <f>H165-I165</f>
        <v>0</v>
      </c>
    </row>
    <row r="166" spans="1:10" ht="15">
      <c r="A166" s="76" t="s">
        <v>241</v>
      </c>
      <c r="B166" s="62" t="s">
        <v>219</v>
      </c>
      <c r="C166" s="26" t="s">
        <v>159</v>
      </c>
      <c r="D166" s="40" t="s">
        <v>2</v>
      </c>
      <c r="E166" s="54"/>
      <c r="F166" s="58">
        <v>2000</v>
      </c>
      <c r="G166" s="59"/>
      <c r="H166" s="60">
        <f>SUM(F166+G166)</f>
        <v>2000</v>
      </c>
      <c r="I166" s="61">
        <v>446.95</v>
      </c>
      <c r="J166" s="58">
        <f>H166-I166</f>
        <v>1553.05</v>
      </c>
    </row>
    <row r="167" spans="1:10" ht="15">
      <c r="A167" s="76" t="s">
        <v>241</v>
      </c>
      <c r="B167" s="62" t="s">
        <v>219</v>
      </c>
      <c r="C167" s="26" t="s">
        <v>242</v>
      </c>
      <c r="D167" s="40" t="s">
        <v>98</v>
      </c>
      <c r="E167" s="54"/>
      <c r="F167" s="58">
        <v>10.92</v>
      </c>
      <c r="G167" s="59"/>
      <c r="H167" s="60">
        <f>SUM(F167+G167)</f>
        <v>10.92</v>
      </c>
      <c r="I167" s="61"/>
      <c r="J167" s="58">
        <f>H167-I167</f>
        <v>10.92</v>
      </c>
    </row>
    <row r="168" spans="1:10" ht="15">
      <c r="A168" s="76" t="s">
        <v>241</v>
      </c>
      <c r="B168" s="62" t="s">
        <v>229</v>
      </c>
      <c r="C168" s="26" t="s">
        <v>270</v>
      </c>
      <c r="D168" s="40" t="s">
        <v>27</v>
      </c>
      <c r="E168" s="54"/>
      <c r="F168" s="58"/>
      <c r="G168" s="59">
        <v>1000</v>
      </c>
      <c r="H168" s="60">
        <f aca="true" t="shared" si="16" ref="H168:H174">SUM(F168+G168)</f>
        <v>1000</v>
      </c>
      <c r="I168" s="61">
        <v>1000</v>
      </c>
      <c r="J168" s="58">
        <f aca="true" t="shared" si="17" ref="J168:J174">H168-I168</f>
        <v>0</v>
      </c>
    </row>
    <row r="169" spans="1:10" ht="15">
      <c r="A169" s="76" t="s">
        <v>241</v>
      </c>
      <c r="B169" s="62" t="s">
        <v>229</v>
      </c>
      <c r="C169" s="26" t="s">
        <v>247</v>
      </c>
      <c r="D169" s="40" t="s">
        <v>94</v>
      </c>
      <c r="E169" s="54"/>
      <c r="F169" s="58"/>
      <c r="G169" s="59">
        <v>1200</v>
      </c>
      <c r="H169" s="60">
        <f t="shared" si="16"/>
        <v>1200</v>
      </c>
      <c r="I169" s="61">
        <v>1200</v>
      </c>
      <c r="J169" s="58">
        <f t="shared" si="17"/>
        <v>0</v>
      </c>
    </row>
    <row r="170" spans="1:10" ht="15">
      <c r="A170" s="76" t="s">
        <v>241</v>
      </c>
      <c r="B170" s="62" t="s">
        <v>229</v>
      </c>
      <c r="C170" s="26" t="s">
        <v>248</v>
      </c>
      <c r="D170" s="40" t="s">
        <v>94</v>
      </c>
      <c r="E170" s="54"/>
      <c r="F170" s="58"/>
      <c r="G170" s="59">
        <v>880</v>
      </c>
      <c r="H170" s="60">
        <f t="shared" si="16"/>
        <v>880</v>
      </c>
      <c r="I170" s="61">
        <v>880</v>
      </c>
      <c r="J170" s="58">
        <f t="shared" si="17"/>
        <v>0</v>
      </c>
    </row>
    <row r="171" spans="1:10" ht="15">
      <c r="A171" s="76" t="s">
        <v>241</v>
      </c>
      <c r="B171" s="62" t="s">
        <v>229</v>
      </c>
      <c r="C171" s="26" t="s">
        <v>287</v>
      </c>
      <c r="D171" s="40" t="s">
        <v>2</v>
      </c>
      <c r="E171" s="54"/>
      <c r="F171" s="58"/>
      <c r="G171" s="59">
        <v>440</v>
      </c>
      <c r="H171" s="60">
        <f t="shared" si="16"/>
        <v>440</v>
      </c>
      <c r="I171" s="61">
        <v>440</v>
      </c>
      <c r="J171" s="58">
        <f t="shared" si="17"/>
        <v>0</v>
      </c>
    </row>
    <row r="172" spans="1:10" ht="15">
      <c r="A172" s="76" t="s">
        <v>241</v>
      </c>
      <c r="B172" s="62" t="s">
        <v>229</v>
      </c>
      <c r="C172" s="26" t="s">
        <v>295</v>
      </c>
      <c r="D172" s="40" t="s">
        <v>84</v>
      </c>
      <c r="E172" s="54"/>
      <c r="F172" s="58"/>
      <c r="G172" s="59">
        <v>500</v>
      </c>
      <c r="H172" s="60">
        <f t="shared" si="16"/>
        <v>500</v>
      </c>
      <c r="I172" s="61">
        <v>500</v>
      </c>
      <c r="J172" s="58">
        <f t="shared" si="17"/>
        <v>0</v>
      </c>
    </row>
    <row r="173" spans="1:10" ht="15">
      <c r="A173" s="76" t="s">
        <v>241</v>
      </c>
      <c r="B173" s="62" t="s">
        <v>229</v>
      </c>
      <c r="C173" s="26" t="s">
        <v>296</v>
      </c>
      <c r="D173" s="40" t="s">
        <v>84</v>
      </c>
      <c r="E173" s="54"/>
      <c r="F173" s="58"/>
      <c r="G173" s="59">
        <v>500</v>
      </c>
      <c r="H173" s="60">
        <f t="shared" si="16"/>
        <v>500</v>
      </c>
      <c r="I173" s="61">
        <v>500</v>
      </c>
      <c r="J173" s="58">
        <f t="shared" si="17"/>
        <v>0</v>
      </c>
    </row>
    <row r="174" spans="1:10" ht="15">
      <c r="A174" s="76" t="s">
        <v>241</v>
      </c>
      <c r="B174" s="62" t="s">
        <v>229</v>
      </c>
      <c r="C174" s="26" t="s">
        <v>297</v>
      </c>
      <c r="D174" s="40" t="s">
        <v>84</v>
      </c>
      <c r="E174" s="54"/>
      <c r="F174" s="58"/>
      <c r="G174" s="59">
        <v>500</v>
      </c>
      <c r="H174" s="60">
        <f t="shared" si="16"/>
        <v>500</v>
      </c>
      <c r="I174" s="61">
        <v>500</v>
      </c>
      <c r="J174" s="58">
        <f t="shared" si="17"/>
        <v>0</v>
      </c>
    </row>
    <row r="175" spans="1:10" ht="15">
      <c r="A175" s="76"/>
      <c r="B175" s="62"/>
      <c r="C175" s="26"/>
      <c r="D175" s="40"/>
      <c r="E175" s="54"/>
      <c r="F175" s="58"/>
      <c r="G175" s="59"/>
      <c r="H175" s="60"/>
      <c r="I175" s="61"/>
      <c r="J175" s="58"/>
    </row>
    <row r="176" spans="1:25" ht="15">
      <c r="A176" s="76"/>
      <c r="B176" s="62"/>
      <c r="C176" s="26"/>
      <c r="D176" s="40"/>
      <c r="E176" s="54" t="s">
        <v>57</v>
      </c>
      <c r="F176" s="58">
        <f>SUM(F163:F175)</f>
        <v>5339.56</v>
      </c>
      <c r="G176" s="59">
        <f>SUM(G163:G175)</f>
        <v>5020</v>
      </c>
      <c r="H176" s="60">
        <f>SUM(H163:H175)</f>
        <v>10359.560000000001</v>
      </c>
      <c r="I176" s="61"/>
      <c r="J176" s="58">
        <f>SUM(J163:J175)</f>
        <v>1665.01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ht="15">
      <c r="A177" s="76"/>
      <c r="B177" s="62"/>
      <c r="C177" s="26"/>
      <c r="D177" s="40"/>
      <c r="E177" s="54"/>
      <c r="F177" s="58"/>
      <c r="G177" s="59"/>
      <c r="H177" s="60"/>
      <c r="I177" s="61"/>
      <c r="J177" s="58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ht="15">
      <c r="A178" s="76">
        <v>468664</v>
      </c>
      <c r="B178" s="62" t="s">
        <v>230</v>
      </c>
      <c r="C178" s="26" t="s">
        <v>42</v>
      </c>
      <c r="D178" s="40" t="s">
        <v>2</v>
      </c>
      <c r="E178" s="54"/>
      <c r="F178" s="58">
        <v>1471.42</v>
      </c>
      <c r="G178" s="59"/>
      <c r="H178" s="60">
        <f>SUM(F178+G178)</f>
        <v>1471.42</v>
      </c>
      <c r="I178" s="61"/>
      <c r="J178" s="58">
        <f>H178-I178</f>
        <v>1471.42</v>
      </c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ht="15">
      <c r="A179" s="76"/>
      <c r="B179" s="76"/>
      <c r="C179" s="26"/>
      <c r="E179" s="54"/>
      <c r="F179" s="60"/>
      <c r="G179" s="60"/>
      <c r="H179" s="60"/>
      <c r="I179" s="60"/>
      <c r="J179" s="60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10" ht="15">
      <c r="A180" s="76"/>
      <c r="B180" s="56"/>
      <c r="C180" s="26"/>
      <c r="E180" s="54"/>
      <c r="F180" s="45"/>
      <c r="G180" s="45"/>
      <c r="H180" s="45"/>
      <c r="I180" s="45"/>
      <c r="J180" s="45"/>
    </row>
    <row r="181" spans="1:10" ht="15">
      <c r="A181" s="76"/>
      <c r="B181" s="56"/>
      <c r="C181" s="26"/>
      <c r="E181" s="54"/>
      <c r="F181" s="45"/>
      <c r="G181" s="45"/>
      <c r="H181" s="45"/>
      <c r="I181" s="45"/>
      <c r="J181" s="45"/>
    </row>
    <row r="182" spans="1:10" ht="15">
      <c r="A182" s="76"/>
      <c r="B182" s="56"/>
      <c r="C182" s="26"/>
      <c r="E182" s="54"/>
      <c r="F182" s="45"/>
      <c r="G182" s="45"/>
      <c r="H182" s="45"/>
      <c r="I182" s="45"/>
      <c r="J182" s="45"/>
    </row>
    <row r="183" spans="1:10" ht="15">
      <c r="A183" s="76"/>
      <c r="B183" s="56"/>
      <c r="C183" s="26"/>
      <c r="E183" s="54"/>
      <c r="F183" s="45"/>
      <c r="G183" s="45"/>
      <c r="H183" s="45"/>
      <c r="I183" s="45"/>
      <c r="J183" s="45"/>
    </row>
    <row r="184" spans="1:10" ht="15">
      <c r="A184" s="76"/>
      <c r="B184" s="56"/>
      <c r="C184" s="26"/>
      <c r="E184" s="54"/>
      <c r="F184" s="45"/>
      <c r="G184" s="45"/>
      <c r="H184" s="45"/>
      <c r="I184" s="45"/>
      <c r="J184" s="4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&amp;RMise à jour du &amp;D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197"/>
  <sheetViews>
    <sheetView workbookViewId="0" topLeftCell="A1">
      <selection activeCell="L16" sqref="L16"/>
    </sheetView>
  </sheetViews>
  <sheetFormatPr defaultColWidth="11.00390625" defaultRowHeight="15"/>
  <cols>
    <col min="1" max="1" width="7.25390625" style="27" customWidth="1"/>
    <col min="2" max="2" width="6.50390625" style="30" customWidth="1"/>
    <col min="3" max="3" width="28.125" style="27" customWidth="1"/>
    <col min="4" max="4" width="9.375" style="26" customWidth="1"/>
    <col min="5" max="5" width="11.00390625" style="50" customWidth="1"/>
    <col min="6" max="6" width="11.125" style="23" bestFit="1" customWidth="1"/>
    <col min="7" max="8" width="11.375" style="23" bestFit="1" customWidth="1"/>
    <col min="9" max="9" width="11.375" style="23" customWidth="1"/>
    <col min="10" max="10" width="11.375" style="23" bestFit="1" customWidth="1"/>
    <col min="11" max="16384" width="11.00390625" style="27" customWidth="1"/>
  </cols>
  <sheetData>
    <row r="2" ht="22.5">
      <c r="B2" s="28" t="s">
        <v>325</v>
      </c>
    </row>
    <row r="3" spans="1:10" ht="15">
      <c r="A3" s="9"/>
      <c r="B3" s="10"/>
      <c r="C3" s="11"/>
      <c r="D3" s="37"/>
      <c r="E3" s="51"/>
      <c r="F3" s="35" t="s">
        <v>6</v>
      </c>
      <c r="G3" s="36"/>
      <c r="H3" s="20"/>
      <c r="I3" s="24"/>
      <c r="J3" s="24"/>
    </row>
    <row r="4" spans="1:10" ht="19.5">
      <c r="A4" s="2" t="s">
        <v>4</v>
      </c>
      <c r="B4" s="3" t="s">
        <v>0</v>
      </c>
      <c r="C4" s="4" t="s">
        <v>44</v>
      </c>
      <c r="D4" s="38" t="s">
        <v>43</v>
      </c>
      <c r="E4" s="52" t="s">
        <v>3</v>
      </c>
      <c r="F4" s="18" t="s">
        <v>5</v>
      </c>
      <c r="G4" s="33">
        <v>2006</v>
      </c>
      <c r="H4" s="21" t="s">
        <v>9</v>
      </c>
      <c r="I4" s="17" t="s">
        <v>73</v>
      </c>
      <c r="J4" s="48" t="s">
        <v>1</v>
      </c>
    </row>
    <row r="5" spans="1:10" ht="15">
      <c r="A5" s="12"/>
      <c r="B5" s="13"/>
      <c r="C5" s="14"/>
      <c r="D5" s="39"/>
      <c r="E5" s="53"/>
      <c r="F5" s="19"/>
      <c r="G5" s="15"/>
      <c r="H5" s="22"/>
      <c r="I5" s="25"/>
      <c r="J5" s="25"/>
    </row>
    <row r="6" spans="1:10" ht="15">
      <c r="A6" s="26"/>
      <c r="B6" s="44"/>
      <c r="C6" s="26"/>
      <c r="D6" s="40"/>
      <c r="E6" s="54"/>
      <c r="F6" s="58"/>
      <c r="G6" s="59"/>
      <c r="H6" s="60"/>
      <c r="I6" s="61"/>
      <c r="J6" s="61"/>
    </row>
    <row r="7" spans="1:10" ht="15">
      <c r="A7" s="26">
        <v>44112</v>
      </c>
      <c r="B7" s="44"/>
      <c r="C7" s="26" t="s">
        <v>77</v>
      </c>
      <c r="D7" s="40" t="s">
        <v>7</v>
      </c>
      <c r="E7" s="54"/>
      <c r="F7" s="58">
        <v>-73260.88</v>
      </c>
      <c r="G7" s="59">
        <f>171.6+145430.6+9286.88+159.63+51963.05+90.54+204.54+153564.35</f>
        <v>360871.19000000006</v>
      </c>
      <c r="H7" s="60">
        <f aca="true" t="shared" si="0" ref="H7:H68">SUM(F7+G7)</f>
        <v>287610.31000000006</v>
      </c>
      <c r="I7" s="61">
        <f>54840.03+51337.52+391.81+97281.26</f>
        <v>203850.62</v>
      </c>
      <c r="J7" s="61">
        <f aca="true" t="shared" si="1" ref="J7:J68">H7-I7</f>
        <v>83759.69000000006</v>
      </c>
    </row>
    <row r="8" spans="1:10" ht="15">
      <c r="A8" s="26">
        <v>44112</v>
      </c>
      <c r="B8" s="44">
        <v>38353</v>
      </c>
      <c r="C8" s="26" t="s">
        <v>107</v>
      </c>
      <c r="D8" s="40"/>
      <c r="E8" s="54"/>
      <c r="F8" s="58">
        <v>80.07</v>
      </c>
      <c r="G8" s="59"/>
      <c r="H8" s="60">
        <f>SUM(F8:G8)</f>
        <v>80.07</v>
      </c>
      <c r="I8" s="61"/>
      <c r="J8" s="58">
        <f>H8-I8</f>
        <v>80.07</v>
      </c>
    </row>
    <row r="9" spans="1:10" ht="15">
      <c r="A9" s="26">
        <v>44112</v>
      </c>
      <c r="B9" s="44">
        <v>38353</v>
      </c>
      <c r="C9" s="26" t="s">
        <v>108</v>
      </c>
      <c r="D9" s="40"/>
      <c r="E9" s="54"/>
      <c r="F9" s="58">
        <v>533.59</v>
      </c>
      <c r="G9" s="59"/>
      <c r="H9" s="60">
        <f>SUM(F9:G9)</f>
        <v>533.59</v>
      </c>
      <c r="I9" s="61"/>
      <c r="J9" s="58">
        <f>H9-I9</f>
        <v>533.59</v>
      </c>
    </row>
    <row r="10" spans="1:10" ht="15">
      <c r="A10" s="26">
        <v>44112</v>
      </c>
      <c r="B10" s="44">
        <v>38353</v>
      </c>
      <c r="C10" s="26" t="s">
        <v>109</v>
      </c>
      <c r="D10" s="40"/>
      <c r="E10" s="54"/>
      <c r="F10" s="58">
        <v>123.92</v>
      </c>
      <c r="G10" s="59"/>
      <c r="H10" s="60">
        <f>SUM(F10:G10)</f>
        <v>123.92</v>
      </c>
      <c r="I10" s="61"/>
      <c r="J10" s="58">
        <f>H10-I10</f>
        <v>123.92</v>
      </c>
    </row>
    <row r="11" spans="1:10" ht="15">
      <c r="A11" s="26">
        <v>44112</v>
      </c>
      <c r="B11" s="44">
        <v>38353</v>
      </c>
      <c r="C11" s="26" t="s">
        <v>110</v>
      </c>
      <c r="D11" s="40"/>
      <c r="E11" s="54"/>
      <c r="F11" s="58">
        <v>14.9</v>
      </c>
      <c r="G11" s="59"/>
      <c r="H11" s="60">
        <f>SUM(F11:G11)</f>
        <v>14.9</v>
      </c>
      <c r="I11" s="61"/>
      <c r="J11" s="58">
        <f>H11-I11</f>
        <v>14.9</v>
      </c>
    </row>
    <row r="12" spans="1:10" ht="15">
      <c r="A12" s="26">
        <v>44112</v>
      </c>
      <c r="B12" s="44">
        <v>2005</v>
      </c>
      <c r="C12" s="26" t="s">
        <v>111</v>
      </c>
      <c r="D12" s="40"/>
      <c r="E12" s="54"/>
      <c r="F12" s="58">
        <v>19.33</v>
      </c>
      <c r="G12" s="59"/>
      <c r="H12" s="60">
        <f>SUM(F12:G12)</f>
        <v>19.33</v>
      </c>
      <c r="I12" s="61"/>
      <c r="J12" s="58">
        <f>H12-I12</f>
        <v>19.33</v>
      </c>
    </row>
    <row r="13" spans="1:10" ht="15">
      <c r="A13" s="26"/>
      <c r="B13" s="44"/>
      <c r="C13" s="26"/>
      <c r="D13" s="40"/>
      <c r="E13" s="54"/>
      <c r="F13" s="58"/>
      <c r="G13" s="59"/>
      <c r="H13" s="60"/>
      <c r="I13" s="61"/>
      <c r="J13" s="58"/>
    </row>
    <row r="14" spans="1:10" ht="15">
      <c r="A14" s="26"/>
      <c r="B14" s="44"/>
      <c r="C14" s="26"/>
      <c r="D14" s="40"/>
      <c r="E14" s="54" t="s">
        <v>199</v>
      </c>
      <c r="F14" s="58">
        <f>SUM(F7:F13)</f>
        <v>-72489.07</v>
      </c>
      <c r="G14" s="59">
        <f>SUM(G7:G13)</f>
        <v>360871.19000000006</v>
      </c>
      <c r="H14" s="60">
        <f>SUM(H7:H12)</f>
        <v>288382.1200000001</v>
      </c>
      <c r="I14" s="61">
        <f>SUM(I7:I13)</f>
        <v>203850.62</v>
      </c>
      <c r="J14" s="61">
        <f>SUM(J7:J13)</f>
        <v>84531.50000000006</v>
      </c>
    </row>
    <row r="15" spans="1:10" ht="15">
      <c r="A15" s="26"/>
      <c r="B15" s="44"/>
      <c r="C15" s="26"/>
      <c r="D15" s="40"/>
      <c r="E15" s="54"/>
      <c r="F15" s="58"/>
      <c r="G15" s="59"/>
      <c r="H15" s="60"/>
      <c r="I15" s="61"/>
      <c r="J15" s="61"/>
    </row>
    <row r="16" spans="1:10" ht="15">
      <c r="A16" s="26">
        <v>44113</v>
      </c>
      <c r="B16" s="44"/>
      <c r="C16" s="26" t="s">
        <v>151</v>
      </c>
      <c r="D16" s="40" t="s">
        <v>2</v>
      </c>
      <c r="E16" s="54"/>
      <c r="F16" s="58">
        <f>998.95+1257.38</f>
        <v>2256.33</v>
      </c>
      <c r="G16" s="59">
        <f>1808.6+5159</f>
        <v>6967.6</v>
      </c>
      <c r="H16" s="60">
        <f t="shared" si="0"/>
        <v>9223.93</v>
      </c>
      <c r="I16" s="61">
        <v>1061.84</v>
      </c>
      <c r="J16" s="61">
        <f t="shared" si="1"/>
        <v>8162.09</v>
      </c>
    </row>
    <row r="17" spans="1:10" ht="15">
      <c r="A17" s="26"/>
      <c r="B17" s="44"/>
      <c r="C17" s="26"/>
      <c r="D17" s="40"/>
      <c r="E17" s="54"/>
      <c r="F17" s="58"/>
      <c r="G17" s="59"/>
      <c r="H17" s="60"/>
      <c r="I17" s="61"/>
      <c r="J17" s="61"/>
    </row>
    <row r="18" spans="1:10" ht="15">
      <c r="A18" s="26">
        <v>44114</v>
      </c>
      <c r="B18" s="44">
        <v>38630</v>
      </c>
      <c r="C18" s="26" t="s">
        <v>92</v>
      </c>
      <c r="D18" s="40" t="s">
        <v>10</v>
      </c>
      <c r="E18" s="54"/>
      <c r="F18" s="58">
        <v>1048</v>
      </c>
      <c r="G18" s="59">
        <v>864</v>
      </c>
      <c r="H18" s="60">
        <f>F18+G18</f>
        <v>1912</v>
      </c>
      <c r="I18" s="61">
        <v>864</v>
      </c>
      <c r="J18" s="61">
        <f>H18-I18</f>
        <v>1048</v>
      </c>
    </row>
    <row r="19" spans="1:10" ht="15">
      <c r="A19" s="26"/>
      <c r="B19" s="44"/>
      <c r="C19" s="26"/>
      <c r="D19" s="40"/>
      <c r="E19" s="54"/>
      <c r="F19" s="58"/>
      <c r="G19" s="59"/>
      <c r="H19" s="60"/>
      <c r="I19" s="61"/>
      <c r="J19" s="61"/>
    </row>
    <row r="20" spans="1:10" ht="15">
      <c r="A20" s="26">
        <v>441151</v>
      </c>
      <c r="B20" s="44"/>
      <c r="C20" s="26" t="s">
        <v>164</v>
      </c>
      <c r="D20" s="40" t="s">
        <v>2</v>
      </c>
      <c r="E20" s="54"/>
      <c r="F20" s="58"/>
      <c r="G20" s="59">
        <f>9853.52+398</f>
        <v>10251.52</v>
      </c>
      <c r="H20" s="60">
        <f t="shared" si="0"/>
        <v>10251.52</v>
      </c>
      <c r="I20" s="61">
        <f>9853.52+398</f>
        <v>10251.52</v>
      </c>
      <c r="J20" s="61">
        <f t="shared" si="1"/>
        <v>0</v>
      </c>
    </row>
    <row r="21" spans="1:10" ht="15">
      <c r="A21" s="26"/>
      <c r="B21" s="44"/>
      <c r="C21" s="26"/>
      <c r="D21" s="40"/>
      <c r="E21" s="54"/>
      <c r="F21" s="58"/>
      <c r="G21" s="59"/>
      <c r="H21" s="60"/>
      <c r="I21" s="61"/>
      <c r="J21" s="61"/>
    </row>
    <row r="22" spans="1:10" ht="15">
      <c r="A22" s="26">
        <v>441152</v>
      </c>
      <c r="B22" s="44"/>
      <c r="C22" s="26" t="s">
        <v>52</v>
      </c>
      <c r="D22" s="40" t="s">
        <v>2</v>
      </c>
      <c r="E22" s="54"/>
      <c r="F22" s="58">
        <v>6.21</v>
      </c>
      <c r="G22" s="59">
        <f>292.76+132.93+1656.88</f>
        <v>2082.57</v>
      </c>
      <c r="H22" s="60">
        <f t="shared" si="0"/>
        <v>2088.78</v>
      </c>
      <c r="I22" s="61">
        <v>2088.78</v>
      </c>
      <c r="J22" s="61">
        <f t="shared" si="1"/>
        <v>0</v>
      </c>
    </row>
    <row r="23" spans="1:10" ht="15">
      <c r="A23" s="26"/>
      <c r="B23" s="44"/>
      <c r="C23" s="26"/>
      <c r="D23" s="40"/>
      <c r="E23" s="54"/>
      <c r="F23" s="58"/>
      <c r="G23" s="59"/>
      <c r="H23" s="60"/>
      <c r="I23" s="61"/>
      <c r="J23" s="61"/>
    </row>
    <row r="24" spans="1:10" ht="15">
      <c r="A24" s="26">
        <v>441161</v>
      </c>
      <c r="B24" s="44"/>
      <c r="C24" s="26" t="s">
        <v>11</v>
      </c>
      <c r="D24" s="40" t="s">
        <v>2</v>
      </c>
      <c r="E24" s="54"/>
      <c r="F24" s="58">
        <v>300</v>
      </c>
      <c r="G24" s="59"/>
      <c r="H24" s="60">
        <f t="shared" si="0"/>
        <v>300</v>
      </c>
      <c r="I24" s="61">
        <v>300</v>
      </c>
      <c r="J24" s="61">
        <f t="shared" si="1"/>
        <v>0</v>
      </c>
    </row>
    <row r="25" spans="1:10" ht="15">
      <c r="A25" s="26"/>
      <c r="B25" s="44"/>
      <c r="C25" s="26"/>
      <c r="D25" s="40"/>
      <c r="E25" s="54"/>
      <c r="F25" s="58"/>
      <c r="G25" s="59"/>
      <c r="H25" s="60"/>
      <c r="I25" s="61"/>
      <c r="J25" s="61"/>
    </row>
    <row r="26" spans="1:10" ht="15">
      <c r="A26" s="26">
        <v>441163</v>
      </c>
      <c r="B26" s="44">
        <v>38125</v>
      </c>
      <c r="C26" s="26" t="s">
        <v>83</v>
      </c>
      <c r="D26" s="40" t="s">
        <v>2</v>
      </c>
      <c r="E26" s="54"/>
      <c r="F26" s="58">
        <v>448.96</v>
      </c>
      <c r="G26" s="59">
        <v>11265</v>
      </c>
      <c r="H26" s="60">
        <f t="shared" si="0"/>
        <v>11713.96</v>
      </c>
      <c r="I26" s="61">
        <f>420+100+5260+100</f>
        <v>5880</v>
      </c>
      <c r="J26" s="61">
        <f t="shared" si="1"/>
        <v>5833.959999999999</v>
      </c>
    </row>
    <row r="27" spans="1:10" ht="15">
      <c r="A27" s="26">
        <v>441163</v>
      </c>
      <c r="B27" s="44"/>
      <c r="C27" s="26" t="s">
        <v>14</v>
      </c>
      <c r="D27" s="40" t="s">
        <v>2</v>
      </c>
      <c r="E27" s="54"/>
      <c r="F27" s="58">
        <v>137.34</v>
      </c>
      <c r="G27" s="59"/>
      <c r="H27" s="60">
        <f t="shared" si="0"/>
        <v>137.34</v>
      </c>
      <c r="I27" s="61"/>
      <c r="J27" s="61">
        <f t="shared" si="1"/>
        <v>137.34</v>
      </c>
    </row>
    <row r="28" spans="1:10" ht="15">
      <c r="A28" s="26"/>
      <c r="B28" s="44"/>
      <c r="C28" s="26"/>
      <c r="D28" s="40"/>
      <c r="E28" s="54"/>
      <c r="F28" s="58"/>
      <c r="G28" s="59"/>
      <c r="H28" s="60"/>
      <c r="I28" s="61"/>
      <c r="J28" s="61"/>
    </row>
    <row r="29" spans="1:10" ht="15">
      <c r="A29" s="26"/>
      <c r="B29" s="44"/>
      <c r="C29" s="26"/>
      <c r="D29" s="40"/>
      <c r="E29" s="54" t="s">
        <v>198</v>
      </c>
      <c r="F29" s="58">
        <f>SUM(F26:F28)</f>
        <v>586.3</v>
      </c>
      <c r="G29" s="59">
        <f>SUM(G26:G28)</f>
        <v>11265</v>
      </c>
      <c r="H29" s="60">
        <f>SUM(H26:H28)</f>
        <v>11851.3</v>
      </c>
      <c r="I29" s="61">
        <f>SUM(I26:I28)</f>
        <v>5880</v>
      </c>
      <c r="J29" s="61">
        <f>SUM(J26:J28)</f>
        <v>5971.299999999999</v>
      </c>
    </row>
    <row r="30" spans="1:10" ht="15">
      <c r="A30" s="26"/>
      <c r="B30" s="44"/>
      <c r="C30" s="26"/>
      <c r="D30" s="40"/>
      <c r="E30" s="54"/>
      <c r="F30" s="58"/>
      <c r="G30" s="59"/>
      <c r="H30" s="60"/>
      <c r="I30" s="61"/>
      <c r="J30" s="61"/>
    </row>
    <row r="31" spans="1:10" ht="15">
      <c r="A31" s="26">
        <v>44118</v>
      </c>
      <c r="B31" s="44">
        <v>35034</v>
      </c>
      <c r="C31" s="26" t="s">
        <v>136</v>
      </c>
      <c r="D31" s="40" t="s">
        <v>2</v>
      </c>
      <c r="E31" s="54"/>
      <c r="F31" s="58">
        <v>67.35</v>
      </c>
      <c r="G31" s="59"/>
      <c r="H31" s="60">
        <f t="shared" si="0"/>
        <v>67.35</v>
      </c>
      <c r="I31" s="61">
        <v>67.35</v>
      </c>
      <c r="J31" s="61">
        <f t="shared" si="1"/>
        <v>0</v>
      </c>
    </row>
    <row r="32" spans="1:10" ht="15">
      <c r="A32" s="26">
        <v>44118</v>
      </c>
      <c r="B32" s="44">
        <v>36404</v>
      </c>
      <c r="C32" s="26" t="s">
        <v>133</v>
      </c>
      <c r="D32" s="40" t="s">
        <v>2</v>
      </c>
      <c r="E32" s="54"/>
      <c r="F32" s="58">
        <v>548.03</v>
      </c>
      <c r="G32" s="59"/>
      <c r="H32" s="60">
        <f t="shared" si="0"/>
        <v>548.03</v>
      </c>
      <c r="I32" s="61">
        <v>548.03</v>
      </c>
      <c r="J32" s="61">
        <f t="shared" si="1"/>
        <v>0</v>
      </c>
    </row>
    <row r="33" spans="1:10" ht="15">
      <c r="A33" s="26">
        <v>44118</v>
      </c>
      <c r="B33" s="44">
        <v>36831</v>
      </c>
      <c r="C33" s="26" t="s">
        <v>130</v>
      </c>
      <c r="D33" s="40" t="s">
        <v>2</v>
      </c>
      <c r="E33" s="54"/>
      <c r="F33" s="58">
        <v>552.17</v>
      </c>
      <c r="G33" s="59"/>
      <c r="H33" s="60">
        <f t="shared" si="0"/>
        <v>552.17</v>
      </c>
      <c r="I33" s="61">
        <f>257.7+294.47</f>
        <v>552.1700000000001</v>
      </c>
      <c r="J33" s="61">
        <f t="shared" si="1"/>
        <v>0</v>
      </c>
    </row>
    <row r="34" spans="1:10" ht="15">
      <c r="A34" s="26">
        <v>44118</v>
      </c>
      <c r="B34" s="44">
        <v>36861</v>
      </c>
      <c r="C34" s="26" t="s">
        <v>131</v>
      </c>
      <c r="D34" s="40" t="s">
        <v>2</v>
      </c>
      <c r="E34" s="54"/>
      <c r="F34" s="58">
        <v>573.81</v>
      </c>
      <c r="G34" s="59"/>
      <c r="H34" s="60">
        <f t="shared" si="0"/>
        <v>573.81</v>
      </c>
      <c r="I34" s="61">
        <v>105.55</v>
      </c>
      <c r="J34" s="61">
        <f t="shared" si="1"/>
        <v>468.25999999999993</v>
      </c>
    </row>
    <row r="35" spans="1:10" ht="15">
      <c r="A35" s="26">
        <v>44118</v>
      </c>
      <c r="B35" s="44">
        <v>36861</v>
      </c>
      <c r="C35" s="26" t="s">
        <v>132</v>
      </c>
      <c r="D35" s="40" t="s">
        <v>2</v>
      </c>
      <c r="E35" s="54"/>
      <c r="F35" s="58">
        <v>1951.35</v>
      </c>
      <c r="G35" s="59"/>
      <c r="H35" s="60">
        <f t="shared" si="0"/>
        <v>1951.35</v>
      </c>
      <c r="I35" s="61">
        <v>1951.35</v>
      </c>
      <c r="J35" s="61">
        <f t="shared" si="1"/>
        <v>0</v>
      </c>
    </row>
    <row r="36" spans="1:10" ht="15">
      <c r="A36" s="26">
        <v>44118</v>
      </c>
      <c r="B36" s="44">
        <v>36861</v>
      </c>
      <c r="C36" s="26" t="s">
        <v>137</v>
      </c>
      <c r="D36" s="40" t="s">
        <v>2</v>
      </c>
      <c r="E36" s="54"/>
      <c r="F36" s="58">
        <v>5.86</v>
      </c>
      <c r="G36" s="59"/>
      <c r="H36" s="60">
        <f t="shared" si="0"/>
        <v>5.86</v>
      </c>
      <c r="I36" s="61">
        <v>5.86</v>
      </c>
      <c r="J36" s="61">
        <f t="shared" si="1"/>
        <v>0</v>
      </c>
    </row>
    <row r="37" spans="1:10" ht="15">
      <c r="A37" s="26">
        <v>44118</v>
      </c>
      <c r="B37" s="44">
        <v>37196</v>
      </c>
      <c r="C37" s="26" t="s">
        <v>128</v>
      </c>
      <c r="D37" s="40" t="s">
        <v>2</v>
      </c>
      <c r="E37" s="54"/>
      <c r="F37" s="58">
        <v>807.98</v>
      </c>
      <c r="G37" s="59"/>
      <c r="H37" s="60">
        <f t="shared" si="0"/>
        <v>807.98</v>
      </c>
      <c r="I37" s="61">
        <f>262.61+51.97</f>
        <v>314.58000000000004</v>
      </c>
      <c r="J37" s="61">
        <f t="shared" si="1"/>
        <v>493.4</v>
      </c>
    </row>
    <row r="38" spans="1:10" ht="15">
      <c r="A38" s="26">
        <v>44118</v>
      </c>
      <c r="B38" s="44">
        <v>37895</v>
      </c>
      <c r="C38" s="26" t="s">
        <v>129</v>
      </c>
      <c r="D38" s="40" t="s">
        <v>2</v>
      </c>
      <c r="E38" s="54"/>
      <c r="F38" s="58">
        <v>411.62</v>
      </c>
      <c r="G38" s="59"/>
      <c r="H38" s="60">
        <f t="shared" si="0"/>
        <v>411.62</v>
      </c>
      <c r="I38" s="61">
        <f>34.95+376.67</f>
        <v>411.62</v>
      </c>
      <c r="J38" s="61">
        <f t="shared" si="1"/>
        <v>0</v>
      </c>
    </row>
    <row r="39" spans="1:10" ht="15">
      <c r="A39" s="26">
        <v>44118</v>
      </c>
      <c r="B39" s="44">
        <v>38708</v>
      </c>
      <c r="C39" s="26" t="s">
        <v>86</v>
      </c>
      <c r="D39" s="40" t="s">
        <v>2</v>
      </c>
      <c r="E39" s="54"/>
      <c r="F39" s="58">
        <v>183.12</v>
      </c>
      <c r="G39" s="59"/>
      <c r="H39" s="60">
        <f t="shared" si="0"/>
        <v>183.12</v>
      </c>
      <c r="I39" s="61">
        <v>183.12</v>
      </c>
      <c r="J39" s="61">
        <f t="shared" si="1"/>
        <v>0</v>
      </c>
    </row>
    <row r="40" spans="1:10" ht="15">
      <c r="A40" s="26">
        <v>44118</v>
      </c>
      <c r="B40" s="44">
        <v>38322</v>
      </c>
      <c r="C40" s="26" t="s">
        <v>138</v>
      </c>
      <c r="D40" s="40" t="s">
        <v>2</v>
      </c>
      <c r="E40" s="54"/>
      <c r="F40" s="58">
        <v>643</v>
      </c>
      <c r="G40" s="59"/>
      <c r="H40" s="60">
        <f t="shared" si="0"/>
        <v>643</v>
      </c>
      <c r="I40" s="61">
        <v>235.61</v>
      </c>
      <c r="J40" s="61">
        <f t="shared" si="1"/>
        <v>407.39</v>
      </c>
    </row>
    <row r="41" spans="1:10" ht="15">
      <c r="A41" s="26">
        <v>44118</v>
      </c>
      <c r="B41" s="44">
        <v>39070</v>
      </c>
      <c r="C41" s="26" t="s">
        <v>184</v>
      </c>
      <c r="D41" s="40" t="s">
        <v>75</v>
      </c>
      <c r="E41" s="54"/>
      <c r="F41" s="58"/>
      <c r="G41" s="59">
        <v>360</v>
      </c>
      <c r="H41" s="60">
        <f>SUM(F41+G41)</f>
        <v>360</v>
      </c>
      <c r="I41" s="61"/>
      <c r="J41" s="61">
        <f>H41-I41</f>
        <v>360</v>
      </c>
    </row>
    <row r="42" spans="1:10" ht="15">
      <c r="A42" s="26">
        <v>44118</v>
      </c>
      <c r="B42" s="44">
        <v>38348</v>
      </c>
      <c r="C42" s="26" t="s">
        <v>72</v>
      </c>
      <c r="D42" s="40" t="s">
        <v>2</v>
      </c>
      <c r="E42" s="54"/>
      <c r="F42" s="58">
        <v>2274.59</v>
      </c>
      <c r="G42" s="59"/>
      <c r="H42" s="60">
        <f>SUM(F42+G42)</f>
        <v>2274.59</v>
      </c>
      <c r="I42" s="61">
        <v>1650</v>
      </c>
      <c r="J42" s="61">
        <f>H42-I42</f>
        <v>624.5900000000001</v>
      </c>
    </row>
    <row r="43" spans="1:25" ht="15">
      <c r="A43" s="26">
        <v>44118</v>
      </c>
      <c r="B43" s="44">
        <v>38258</v>
      </c>
      <c r="C43" s="46" t="s">
        <v>141</v>
      </c>
      <c r="D43" s="40" t="s">
        <v>2</v>
      </c>
      <c r="E43" s="54"/>
      <c r="F43" s="58">
        <v>400</v>
      </c>
      <c r="G43" s="59"/>
      <c r="H43" s="60">
        <f>SUM(F43:G43)</f>
        <v>400</v>
      </c>
      <c r="I43" s="61"/>
      <c r="J43" s="61">
        <f>H43-I43</f>
        <v>400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5">
      <c r="A44" s="26">
        <v>44118</v>
      </c>
      <c r="B44" s="44">
        <v>38348</v>
      </c>
      <c r="C44" s="46" t="s">
        <v>142</v>
      </c>
      <c r="D44" s="40" t="s">
        <v>2</v>
      </c>
      <c r="E44" s="54"/>
      <c r="F44" s="58">
        <v>110.75</v>
      </c>
      <c r="G44" s="59"/>
      <c r="H44" s="60">
        <f>SUM(F44:G44)</f>
        <v>110.75</v>
      </c>
      <c r="I44" s="61"/>
      <c r="J44" s="61">
        <f>H44-I44</f>
        <v>110.75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10" ht="15">
      <c r="A45" s="26"/>
      <c r="B45" s="44"/>
      <c r="C45" s="26"/>
      <c r="D45" s="40"/>
      <c r="E45" s="54"/>
      <c r="F45" s="58"/>
      <c r="G45" s="59"/>
      <c r="H45" s="60"/>
      <c r="I45" s="61"/>
      <c r="J45" s="61"/>
    </row>
    <row r="46" spans="1:10" ht="15">
      <c r="A46" s="26"/>
      <c r="B46" s="44"/>
      <c r="C46" s="26"/>
      <c r="D46" s="40"/>
      <c r="E46" s="49" t="s">
        <v>45</v>
      </c>
      <c r="F46" s="58">
        <f>SUM(F31:F45)</f>
        <v>8529.630000000001</v>
      </c>
      <c r="G46" s="59">
        <f>SUM(G31:G45)</f>
        <v>360</v>
      </c>
      <c r="H46" s="60">
        <f>SUM(H31:H45)</f>
        <v>8889.630000000001</v>
      </c>
      <c r="I46" s="61">
        <f>SUM(I31:I45)</f>
        <v>6025.24</v>
      </c>
      <c r="J46" s="61">
        <f t="shared" si="1"/>
        <v>2864.3900000000012</v>
      </c>
    </row>
    <row r="47" spans="1:10" ht="15">
      <c r="A47" s="26"/>
      <c r="B47" s="44"/>
      <c r="C47" s="26"/>
      <c r="D47" s="40"/>
      <c r="E47" s="54"/>
      <c r="F47" s="58"/>
      <c r="G47" s="59"/>
      <c r="H47" s="60"/>
      <c r="I47" s="61"/>
      <c r="J47" s="61"/>
    </row>
    <row r="48" spans="1:10" ht="15">
      <c r="A48" s="26">
        <v>44122</v>
      </c>
      <c r="B48" s="44"/>
      <c r="C48" s="26" t="s">
        <v>79</v>
      </c>
      <c r="D48" s="40" t="s">
        <v>27</v>
      </c>
      <c r="E48" s="54"/>
      <c r="F48" s="58"/>
      <c r="G48" s="59">
        <v>367125</v>
      </c>
      <c r="H48" s="60">
        <f t="shared" si="0"/>
        <v>367125</v>
      </c>
      <c r="I48" s="61">
        <v>367125</v>
      </c>
      <c r="J48" s="61">
        <f t="shared" si="1"/>
        <v>0</v>
      </c>
    </row>
    <row r="49" spans="1:10" ht="15">
      <c r="A49" s="26"/>
      <c r="B49" s="44"/>
      <c r="C49" s="26"/>
      <c r="D49" s="40"/>
      <c r="E49" s="54"/>
      <c r="F49" s="58"/>
      <c r="G49" s="59"/>
      <c r="H49" s="60"/>
      <c r="I49" s="61"/>
      <c r="J49" s="61"/>
    </row>
    <row r="50" spans="1:10" ht="15">
      <c r="A50" s="26">
        <v>44123</v>
      </c>
      <c r="B50" s="44">
        <v>38365</v>
      </c>
      <c r="C50" s="26" t="s">
        <v>87</v>
      </c>
      <c r="D50" s="40" t="s">
        <v>27</v>
      </c>
      <c r="E50" s="54"/>
      <c r="F50" s="58">
        <v>5110</v>
      </c>
      <c r="G50" s="59"/>
      <c r="H50" s="60">
        <f t="shared" si="0"/>
        <v>5110</v>
      </c>
      <c r="I50" s="61"/>
      <c r="J50" s="61">
        <f t="shared" si="1"/>
        <v>5110</v>
      </c>
    </row>
    <row r="51" spans="1:10" ht="15">
      <c r="A51" s="26"/>
      <c r="B51" s="44"/>
      <c r="C51" s="26"/>
      <c r="D51" s="40"/>
      <c r="E51" s="54"/>
      <c r="F51" s="58"/>
      <c r="G51" s="59"/>
      <c r="H51" s="60"/>
      <c r="I51" s="61"/>
      <c r="J51" s="61"/>
    </row>
    <row r="52" spans="1:11" ht="15">
      <c r="A52" s="26">
        <v>44128</v>
      </c>
      <c r="B52" s="44">
        <v>37956</v>
      </c>
      <c r="C52" s="26" t="s">
        <v>289</v>
      </c>
      <c r="D52" s="40" t="s">
        <v>27</v>
      </c>
      <c r="E52" s="55"/>
      <c r="F52" s="58">
        <v>57446.37</v>
      </c>
      <c r="G52" s="59"/>
      <c r="H52" s="60">
        <f>SUM(F52+G52)-1100</f>
        <v>56346.37</v>
      </c>
      <c r="I52" s="61">
        <f>6345.05+2948.87+9509.4</f>
        <v>18803.32</v>
      </c>
      <c r="J52" s="61">
        <f t="shared" si="1"/>
        <v>37543.05</v>
      </c>
      <c r="K52" s="27" t="s">
        <v>163</v>
      </c>
    </row>
    <row r="53" spans="1:10" ht="15">
      <c r="A53" s="26">
        <v>44128</v>
      </c>
      <c r="B53" s="44">
        <v>36951</v>
      </c>
      <c r="C53" s="26" t="s">
        <v>135</v>
      </c>
      <c r="D53" s="40" t="s">
        <v>27</v>
      </c>
      <c r="E53" s="54"/>
      <c r="F53" s="58">
        <v>1166.24</v>
      </c>
      <c r="G53" s="59"/>
      <c r="H53" s="60">
        <f t="shared" si="0"/>
        <v>1166.24</v>
      </c>
      <c r="I53" s="61">
        <f>911.37+237.76+17.11</f>
        <v>1166.24</v>
      </c>
      <c r="J53" s="61">
        <f t="shared" si="1"/>
        <v>0</v>
      </c>
    </row>
    <row r="54" spans="1:10" ht="15">
      <c r="A54" s="26">
        <v>44128</v>
      </c>
      <c r="B54" s="44">
        <v>37226</v>
      </c>
      <c r="C54" s="26" t="s">
        <v>134</v>
      </c>
      <c r="D54" s="40" t="s">
        <v>27</v>
      </c>
      <c r="E54" s="54"/>
      <c r="F54" s="58">
        <v>56368.7</v>
      </c>
      <c r="G54" s="59"/>
      <c r="H54" s="60">
        <f t="shared" si="0"/>
        <v>56368.7</v>
      </c>
      <c r="I54" s="61">
        <f>10890+14057.41+31421.29</f>
        <v>56368.7</v>
      </c>
      <c r="J54" s="61">
        <f t="shared" si="1"/>
        <v>0</v>
      </c>
    </row>
    <row r="55" spans="1:10" ht="15">
      <c r="A55" s="26">
        <v>44128</v>
      </c>
      <c r="B55" s="44">
        <v>38951</v>
      </c>
      <c r="C55" s="26" t="s">
        <v>170</v>
      </c>
      <c r="D55" s="40" t="s">
        <v>27</v>
      </c>
      <c r="E55" s="54"/>
      <c r="F55" s="58"/>
      <c r="G55" s="59">
        <v>62690</v>
      </c>
      <c r="H55" s="60">
        <f t="shared" si="0"/>
        <v>62690</v>
      </c>
      <c r="I55" s="61">
        <f>1515.62+56824.32+130.73+365.38+232+314.21</f>
        <v>59382.26</v>
      </c>
      <c r="J55" s="61">
        <f t="shared" si="1"/>
        <v>3307.739999999998</v>
      </c>
    </row>
    <row r="56" spans="1:10" ht="15">
      <c r="A56" s="26">
        <v>44128</v>
      </c>
      <c r="B56" s="44">
        <v>37347</v>
      </c>
      <c r="C56" s="26" t="s">
        <v>124</v>
      </c>
      <c r="D56" s="40" t="s">
        <v>27</v>
      </c>
      <c r="E56" s="54"/>
      <c r="F56" s="58">
        <v>6485.72</v>
      </c>
      <c r="G56" s="59"/>
      <c r="H56" s="60">
        <f t="shared" si="0"/>
        <v>6485.72</v>
      </c>
      <c r="I56" s="61">
        <f>103.62+911.96+1375.39+3306.56</f>
        <v>5697.530000000001</v>
      </c>
      <c r="J56" s="61">
        <f t="shared" si="1"/>
        <v>788.1899999999996</v>
      </c>
    </row>
    <row r="57" spans="1:10" ht="15">
      <c r="A57" s="26">
        <v>44128</v>
      </c>
      <c r="B57" s="44">
        <v>37681</v>
      </c>
      <c r="C57" s="26" t="s">
        <v>140</v>
      </c>
      <c r="D57" s="40" t="s">
        <v>27</v>
      </c>
      <c r="E57" s="54"/>
      <c r="F57" s="58">
        <v>2763</v>
      </c>
      <c r="G57" s="59"/>
      <c r="H57" s="60">
        <f t="shared" si="0"/>
        <v>2763</v>
      </c>
      <c r="I57" s="61">
        <f>510+134.33</f>
        <v>644.33</v>
      </c>
      <c r="J57" s="61">
        <f t="shared" si="1"/>
        <v>2118.67</v>
      </c>
    </row>
    <row r="58" spans="1:10" ht="15">
      <c r="A58" s="26">
        <v>44128</v>
      </c>
      <c r="B58" s="44">
        <v>37377</v>
      </c>
      <c r="C58" s="26" t="s">
        <v>122</v>
      </c>
      <c r="D58" s="40" t="s">
        <v>27</v>
      </c>
      <c r="E58" s="54"/>
      <c r="F58" s="58">
        <v>9763.06</v>
      </c>
      <c r="G58" s="59"/>
      <c r="H58" s="60">
        <f t="shared" si="0"/>
        <v>9763.06</v>
      </c>
      <c r="I58" s="61">
        <f>5321.97+1435.2+691.88+1358.66+955.35</f>
        <v>9763.060000000001</v>
      </c>
      <c r="J58" s="61">
        <f t="shared" si="1"/>
        <v>0</v>
      </c>
    </row>
    <row r="59" spans="1:10" ht="15">
      <c r="A59" s="26">
        <v>44128</v>
      </c>
      <c r="B59" s="44">
        <v>37347</v>
      </c>
      <c r="C59" s="26" t="s">
        <v>123</v>
      </c>
      <c r="D59" s="40" t="s">
        <v>27</v>
      </c>
      <c r="E59" s="54"/>
      <c r="F59" s="58">
        <v>3721.81</v>
      </c>
      <c r="G59" s="59"/>
      <c r="H59" s="60">
        <f t="shared" si="0"/>
        <v>3721.81</v>
      </c>
      <c r="I59" s="61">
        <f>1520.12+315.74+1387.22+498.73</f>
        <v>3721.81</v>
      </c>
      <c r="J59" s="61">
        <f t="shared" si="1"/>
        <v>0</v>
      </c>
    </row>
    <row r="60" spans="1:10" ht="15">
      <c r="A60" s="26">
        <v>44128</v>
      </c>
      <c r="B60" s="44">
        <v>37803</v>
      </c>
      <c r="C60" s="46" t="s">
        <v>125</v>
      </c>
      <c r="D60" s="40" t="s">
        <v>27</v>
      </c>
      <c r="E60" s="54"/>
      <c r="F60" s="58">
        <v>37.44</v>
      </c>
      <c r="G60" s="59"/>
      <c r="H60" s="60">
        <f t="shared" si="0"/>
        <v>37.44</v>
      </c>
      <c r="I60" s="61">
        <v>37.44</v>
      </c>
      <c r="J60" s="61">
        <f t="shared" si="1"/>
        <v>0</v>
      </c>
    </row>
    <row r="61" spans="1:10" ht="15">
      <c r="A61" s="26">
        <v>44128</v>
      </c>
      <c r="B61" s="44">
        <v>38092</v>
      </c>
      <c r="C61" s="46" t="s">
        <v>127</v>
      </c>
      <c r="D61" s="40" t="s">
        <v>27</v>
      </c>
      <c r="E61" s="54"/>
      <c r="F61" s="58">
        <v>8044.92</v>
      </c>
      <c r="G61" s="59"/>
      <c r="H61" s="60">
        <f t="shared" si="0"/>
        <v>8044.92</v>
      </c>
      <c r="I61" s="61">
        <f>354.14+187.8</f>
        <v>541.94</v>
      </c>
      <c r="J61" s="61">
        <f t="shared" si="1"/>
        <v>7502.98</v>
      </c>
    </row>
    <row r="62" spans="1:10" ht="15">
      <c r="A62" s="26">
        <v>44128</v>
      </c>
      <c r="B62" s="44">
        <v>38222</v>
      </c>
      <c r="C62" s="46" t="s">
        <v>139</v>
      </c>
      <c r="D62" s="40" t="s">
        <v>27</v>
      </c>
      <c r="E62" s="54"/>
      <c r="F62" s="58">
        <v>1063.44</v>
      </c>
      <c r="G62" s="59"/>
      <c r="H62" s="60">
        <f t="shared" si="0"/>
        <v>1063.44</v>
      </c>
      <c r="I62" s="61">
        <f>721.19+342.25</f>
        <v>1063.44</v>
      </c>
      <c r="J62" s="61">
        <f t="shared" si="1"/>
        <v>0</v>
      </c>
    </row>
    <row r="63" spans="1:10" ht="15">
      <c r="A63" s="26">
        <v>44128</v>
      </c>
      <c r="B63" s="44">
        <v>38365</v>
      </c>
      <c r="C63" s="46" t="s">
        <v>126</v>
      </c>
      <c r="D63" s="40" t="s">
        <v>27</v>
      </c>
      <c r="E63" s="54"/>
      <c r="F63" s="58">
        <v>2939</v>
      </c>
      <c r="G63" s="59"/>
      <c r="H63" s="60">
        <f t="shared" si="0"/>
        <v>2939</v>
      </c>
      <c r="I63" s="61">
        <v>2939</v>
      </c>
      <c r="J63" s="61">
        <f t="shared" si="1"/>
        <v>0</v>
      </c>
    </row>
    <row r="64" spans="1:10" ht="15">
      <c r="A64" s="26">
        <v>44128</v>
      </c>
      <c r="B64" s="44">
        <v>38642</v>
      </c>
      <c r="C64" s="26" t="s">
        <v>168</v>
      </c>
      <c r="D64" s="40" t="s">
        <v>27</v>
      </c>
      <c r="E64" s="54"/>
      <c r="F64" s="58">
        <v>4541</v>
      </c>
      <c r="G64" s="59"/>
      <c r="H64" s="60">
        <f t="shared" si="0"/>
        <v>4541</v>
      </c>
      <c r="I64" s="61">
        <v>3999.42</v>
      </c>
      <c r="J64" s="58">
        <f t="shared" si="1"/>
        <v>541.5799999999999</v>
      </c>
    </row>
    <row r="65" spans="1:10" ht="15">
      <c r="A65" s="26">
        <v>44128</v>
      </c>
      <c r="B65" s="44">
        <v>38945</v>
      </c>
      <c r="C65" s="26" t="s">
        <v>165</v>
      </c>
      <c r="D65" s="40" t="s">
        <v>27</v>
      </c>
      <c r="E65" s="54"/>
      <c r="F65" s="58"/>
      <c r="G65" s="59">
        <v>22200</v>
      </c>
      <c r="H65" s="60">
        <f t="shared" si="0"/>
        <v>22200</v>
      </c>
      <c r="I65" s="61"/>
      <c r="J65" s="58">
        <f t="shared" si="1"/>
        <v>22200</v>
      </c>
    </row>
    <row r="66" spans="1:10" ht="15">
      <c r="A66" s="26">
        <v>44128</v>
      </c>
      <c r="B66" s="44"/>
      <c r="C66" s="26" t="s">
        <v>167</v>
      </c>
      <c r="D66" s="40" t="s">
        <v>27</v>
      </c>
      <c r="E66" s="54"/>
      <c r="F66" s="58"/>
      <c r="G66" s="59">
        <v>19820</v>
      </c>
      <c r="H66" s="60">
        <f t="shared" si="0"/>
        <v>19820</v>
      </c>
      <c r="I66" s="61"/>
      <c r="J66" s="58">
        <f t="shared" si="1"/>
        <v>19820</v>
      </c>
    </row>
    <row r="67" spans="1:10" ht="15">
      <c r="A67" s="26">
        <v>44128</v>
      </c>
      <c r="B67" s="44">
        <v>38930</v>
      </c>
      <c r="C67" s="26" t="s">
        <v>166</v>
      </c>
      <c r="D67" s="40" t="s">
        <v>27</v>
      </c>
      <c r="E67" s="54"/>
      <c r="F67" s="58"/>
      <c r="G67" s="59">
        <v>6000</v>
      </c>
      <c r="H67" s="60">
        <f t="shared" si="0"/>
        <v>6000</v>
      </c>
      <c r="I67" s="61">
        <v>6000</v>
      </c>
      <c r="J67" s="58">
        <f t="shared" si="1"/>
        <v>0</v>
      </c>
    </row>
    <row r="68" spans="1:10" ht="15">
      <c r="A68" s="26">
        <v>44128</v>
      </c>
      <c r="B68" s="44">
        <v>38994</v>
      </c>
      <c r="C68" s="26" t="s">
        <v>169</v>
      </c>
      <c r="D68" s="40" t="s">
        <v>27</v>
      </c>
      <c r="E68" s="54"/>
      <c r="F68" s="58"/>
      <c r="G68" s="59">
        <v>4771</v>
      </c>
      <c r="H68" s="60">
        <f t="shared" si="0"/>
        <v>4771</v>
      </c>
      <c r="I68" s="61">
        <f>3572.99+1198.01</f>
        <v>4771</v>
      </c>
      <c r="J68" s="58">
        <f t="shared" si="1"/>
        <v>0</v>
      </c>
    </row>
    <row r="69" spans="1:25" ht="15">
      <c r="A69" s="26">
        <v>44128</v>
      </c>
      <c r="B69" s="44"/>
      <c r="C69" s="46" t="s">
        <v>88</v>
      </c>
      <c r="D69" s="40" t="s">
        <v>27</v>
      </c>
      <c r="E69" s="54"/>
      <c r="F69" s="58">
        <v>275</v>
      </c>
      <c r="G69" s="59"/>
      <c r="H69" s="60">
        <f>SUM(F69:G69)</f>
        <v>275</v>
      </c>
      <c r="I69" s="61">
        <v>275</v>
      </c>
      <c r="J69" s="58">
        <f>H69-I69</f>
        <v>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10" ht="15">
      <c r="A70" s="26"/>
      <c r="B70" s="44"/>
      <c r="C70" s="26"/>
      <c r="D70" s="40"/>
      <c r="E70" s="54"/>
      <c r="F70" s="58"/>
      <c r="G70" s="59"/>
      <c r="H70" s="60"/>
      <c r="I70" s="61"/>
      <c r="J70" s="58"/>
    </row>
    <row r="71" spans="1:10" ht="15">
      <c r="A71" s="26"/>
      <c r="B71" s="44"/>
      <c r="C71" s="26"/>
      <c r="D71" s="40"/>
      <c r="E71" s="49" t="s">
        <v>46</v>
      </c>
      <c r="F71" s="58">
        <f>SUM(F52:F70)</f>
        <v>154615.7</v>
      </c>
      <c r="G71" s="59">
        <f>SUM(G52:G70)</f>
        <v>115481</v>
      </c>
      <c r="H71" s="60">
        <f>SUM(H52:H70)</f>
        <v>268996.7</v>
      </c>
      <c r="I71" s="61">
        <f>SUM(I52:I70)</f>
        <v>175174.49</v>
      </c>
      <c r="J71" s="58">
        <f>H71-I71</f>
        <v>93822.21000000002</v>
      </c>
    </row>
    <row r="72" spans="1:10" ht="15">
      <c r="A72" s="26"/>
      <c r="B72" s="44"/>
      <c r="C72" s="26"/>
      <c r="D72" s="40"/>
      <c r="E72" s="49"/>
      <c r="F72" s="58"/>
      <c r="G72" s="59"/>
      <c r="H72" s="60"/>
      <c r="I72" s="61"/>
      <c r="J72" s="58"/>
    </row>
    <row r="73" spans="1:10" ht="15.75" customHeight="1">
      <c r="A73" s="26">
        <v>4413</v>
      </c>
      <c r="B73" s="44">
        <v>38732</v>
      </c>
      <c r="C73" s="26" t="s">
        <v>99</v>
      </c>
      <c r="D73" s="40" t="s">
        <v>82</v>
      </c>
      <c r="E73" s="54"/>
      <c r="F73" s="58"/>
      <c r="G73" s="59">
        <v>600</v>
      </c>
      <c r="H73" s="60">
        <f>SUM(F73+G73)</f>
        <v>600</v>
      </c>
      <c r="I73" s="61">
        <f>154.28+443.2</f>
        <v>597.48</v>
      </c>
      <c r="J73" s="58">
        <f>H73-I73</f>
        <v>2.519999999999982</v>
      </c>
    </row>
    <row r="74" spans="1:10" ht="15.75" customHeight="1">
      <c r="A74" s="26">
        <v>4413</v>
      </c>
      <c r="B74" s="44">
        <v>38732</v>
      </c>
      <c r="C74" s="26" t="s">
        <v>85</v>
      </c>
      <c r="D74" s="40" t="s">
        <v>82</v>
      </c>
      <c r="E74" s="54"/>
      <c r="F74" s="58"/>
      <c r="G74" s="59">
        <v>780</v>
      </c>
      <c r="H74" s="60">
        <f>SUM(F74+G74)</f>
        <v>780</v>
      </c>
      <c r="I74" s="61">
        <v>780</v>
      </c>
      <c r="J74" s="58">
        <f>H74-I74</f>
        <v>0</v>
      </c>
    </row>
    <row r="75" spans="1:10" ht="15.75" customHeight="1">
      <c r="A75" s="26">
        <v>4413</v>
      </c>
      <c r="B75" s="44"/>
      <c r="C75" s="26" t="s">
        <v>85</v>
      </c>
      <c r="D75" s="40" t="s">
        <v>82</v>
      </c>
      <c r="E75" s="54"/>
      <c r="F75" s="58"/>
      <c r="G75" s="59">
        <v>700</v>
      </c>
      <c r="H75" s="60">
        <f>SUM(F75+G75)</f>
        <v>700</v>
      </c>
      <c r="I75" s="61">
        <f>390.9+287.38+21.72</f>
        <v>700</v>
      </c>
      <c r="J75" s="58">
        <f>H75-I75</f>
        <v>0</v>
      </c>
    </row>
    <row r="76" spans="1:10" ht="15.75" customHeight="1">
      <c r="A76" s="26">
        <v>4413</v>
      </c>
      <c r="B76" s="44"/>
      <c r="C76" s="26" t="s">
        <v>183</v>
      </c>
      <c r="D76" s="40" t="s">
        <v>82</v>
      </c>
      <c r="E76" s="54"/>
      <c r="F76" s="58"/>
      <c r="G76" s="59">
        <v>400</v>
      </c>
      <c r="H76" s="60">
        <f>SUM(F76+G76)</f>
        <v>400</v>
      </c>
      <c r="I76" s="61"/>
      <c r="J76" s="58">
        <f>H76-I76</f>
        <v>400</v>
      </c>
    </row>
    <row r="77" spans="1:25" ht="15">
      <c r="A77" s="47">
        <v>4413</v>
      </c>
      <c r="B77" s="44">
        <v>2005</v>
      </c>
      <c r="C77" s="40" t="s">
        <v>200</v>
      </c>
      <c r="D77" s="40"/>
      <c r="E77" s="57"/>
      <c r="F77" s="60">
        <v>234.7</v>
      </c>
      <c r="G77" s="59"/>
      <c r="H77" s="61">
        <f>SUM(F77:G77)</f>
        <v>234.7</v>
      </c>
      <c r="I77" s="61"/>
      <c r="J77" s="58">
        <f>H77-I77</f>
        <v>234.7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10" ht="15.75" customHeight="1">
      <c r="A78" s="26"/>
      <c r="B78" s="44"/>
      <c r="C78" s="26"/>
      <c r="D78" s="40"/>
      <c r="E78" s="54"/>
      <c r="F78" s="58"/>
      <c r="G78" s="59"/>
      <c r="H78" s="60"/>
      <c r="I78" s="61"/>
      <c r="J78" s="58"/>
    </row>
    <row r="79" spans="1:10" ht="15.75" customHeight="1">
      <c r="A79" s="26"/>
      <c r="B79" s="44"/>
      <c r="C79" s="26"/>
      <c r="D79" s="40"/>
      <c r="E79" s="54" t="s">
        <v>100</v>
      </c>
      <c r="F79" s="58">
        <f>SUM(F73:F78)</f>
        <v>234.7</v>
      </c>
      <c r="G79" s="59">
        <f>SUM(G73:G78)</f>
        <v>2480</v>
      </c>
      <c r="H79" s="60">
        <f>SUM(H73:H78)</f>
        <v>2714.7</v>
      </c>
      <c r="I79" s="61">
        <f>SUM(I73:I78)</f>
        <v>2077.48</v>
      </c>
      <c r="J79" s="58">
        <f>H79-I79</f>
        <v>637.2199999999998</v>
      </c>
    </row>
    <row r="80" spans="1:10" ht="15">
      <c r="A80" s="26"/>
      <c r="B80" s="44"/>
      <c r="C80" s="26"/>
      <c r="D80" s="40"/>
      <c r="E80" s="54"/>
      <c r="F80" s="58"/>
      <c r="G80" s="59"/>
      <c r="H80" s="60"/>
      <c r="I80" s="61"/>
      <c r="J80" s="58"/>
    </row>
    <row r="81" spans="1:10" ht="15">
      <c r="A81" s="26">
        <v>44185</v>
      </c>
      <c r="B81" s="44"/>
      <c r="C81" s="26" t="s">
        <v>32</v>
      </c>
      <c r="D81" s="40" t="s">
        <v>27</v>
      </c>
      <c r="E81" s="54"/>
      <c r="F81" s="58">
        <v>4739.56</v>
      </c>
      <c r="G81" s="59"/>
      <c r="H81" s="60">
        <f>SUM(F81+G81)</f>
        <v>4739.56</v>
      </c>
      <c r="I81" s="61">
        <v>2487.68</v>
      </c>
      <c r="J81" s="58">
        <f>H81-I81</f>
        <v>2251.8800000000006</v>
      </c>
    </row>
    <row r="82" spans="1:10" ht="15">
      <c r="A82" s="26"/>
      <c r="B82" s="44"/>
      <c r="C82" s="26"/>
      <c r="D82" s="40"/>
      <c r="E82" s="54"/>
      <c r="F82" s="58"/>
      <c r="G82" s="59"/>
      <c r="H82" s="60"/>
      <c r="I82" s="61"/>
      <c r="J82" s="58"/>
    </row>
    <row r="83" spans="1:10" ht="15">
      <c r="A83" s="26">
        <v>44188</v>
      </c>
      <c r="B83" s="44">
        <v>38630</v>
      </c>
      <c r="C83" s="26" t="s">
        <v>36</v>
      </c>
      <c r="D83" s="40"/>
      <c r="E83" s="54"/>
      <c r="F83" s="58"/>
      <c r="G83" s="59">
        <f>1815+1244.92</f>
        <v>3059.92</v>
      </c>
      <c r="H83" s="60">
        <f>F83+G83</f>
        <v>3059.92</v>
      </c>
      <c r="I83" s="61">
        <v>1244.92</v>
      </c>
      <c r="J83" s="58">
        <f>H83-I83</f>
        <v>1815</v>
      </c>
    </row>
    <row r="84" spans="1:10" ht="15">
      <c r="A84" s="26"/>
      <c r="B84" s="44"/>
      <c r="C84" s="26"/>
      <c r="D84" s="40"/>
      <c r="E84" s="54"/>
      <c r="F84" s="58"/>
      <c r="G84" s="59"/>
      <c r="H84" s="60"/>
      <c r="I84" s="61"/>
      <c r="J84" s="58"/>
    </row>
    <row r="85" spans="1:10" ht="15">
      <c r="A85" s="26">
        <v>4432</v>
      </c>
      <c r="B85" s="44"/>
      <c r="C85" s="26" t="s">
        <v>37</v>
      </c>
      <c r="D85" s="40" t="s">
        <v>10</v>
      </c>
      <c r="E85" s="54"/>
      <c r="F85" s="58">
        <v>12903.7</v>
      </c>
      <c r="G85" s="59"/>
      <c r="H85" s="60">
        <f>SUM(F85+G85)</f>
        <v>12903.7</v>
      </c>
      <c r="I85" s="61">
        <v>12903.7</v>
      </c>
      <c r="J85" s="58">
        <f>H85-I85</f>
        <v>0</v>
      </c>
    </row>
    <row r="86" spans="1:10" ht="15">
      <c r="A86" s="26"/>
      <c r="B86" s="44"/>
      <c r="C86" s="26"/>
      <c r="D86" s="40"/>
      <c r="E86" s="54"/>
      <c r="F86" s="58"/>
      <c r="G86" s="59"/>
      <c r="H86" s="60"/>
      <c r="I86" s="61"/>
      <c r="J86" s="58"/>
    </row>
    <row r="87" spans="1:10" ht="15">
      <c r="A87" s="26">
        <v>4621</v>
      </c>
      <c r="B87" s="44"/>
      <c r="C87" s="26" t="s">
        <v>34</v>
      </c>
      <c r="D87" s="40" t="s">
        <v>35</v>
      </c>
      <c r="E87" s="54"/>
      <c r="F87" s="58">
        <v>2079.32</v>
      </c>
      <c r="G87" s="59">
        <f>1000+8600+12885+6425+5568.36+32+10300+25559+800+3000-8600</f>
        <v>65569.36</v>
      </c>
      <c r="H87" s="60">
        <f>SUM(F87+G87)</f>
        <v>67648.68000000001</v>
      </c>
      <c r="I87" s="61">
        <f>46844.85+20803.83</f>
        <v>67648.68</v>
      </c>
      <c r="J87" s="58">
        <f>H87-I87</f>
        <v>0</v>
      </c>
    </row>
    <row r="88" spans="1:10" ht="15">
      <c r="A88" s="26"/>
      <c r="B88" s="44"/>
      <c r="C88" s="26"/>
      <c r="D88" s="40"/>
      <c r="E88" s="54"/>
      <c r="F88" s="58"/>
      <c r="G88" s="59"/>
      <c r="H88" s="60"/>
      <c r="I88" s="61"/>
      <c r="J88" s="58"/>
    </row>
    <row r="89" spans="1:10" ht="15">
      <c r="A89" s="26">
        <v>46311</v>
      </c>
      <c r="B89" s="44"/>
      <c r="C89" s="26" t="s">
        <v>103</v>
      </c>
      <c r="D89" s="40"/>
      <c r="E89" s="54"/>
      <c r="F89" s="58"/>
      <c r="G89" s="59"/>
      <c r="H89" s="60">
        <f>F89+G89</f>
        <v>0</v>
      </c>
      <c r="I89" s="61">
        <v>1136</v>
      </c>
      <c r="J89" s="58">
        <f>H89-I89</f>
        <v>-1136</v>
      </c>
    </row>
    <row r="90" spans="1:10" ht="15">
      <c r="A90" s="26"/>
      <c r="B90" s="44"/>
      <c r="C90" s="26" t="s">
        <v>106</v>
      </c>
      <c r="D90" s="40"/>
      <c r="E90" s="54"/>
      <c r="F90" s="58"/>
      <c r="G90" s="59"/>
      <c r="H90" s="60">
        <f>F90+G90</f>
        <v>0</v>
      </c>
      <c r="I90" s="61">
        <v>1.35</v>
      </c>
      <c r="J90" s="58">
        <f>H90-I90</f>
        <v>-1.35</v>
      </c>
    </row>
    <row r="91" spans="1:10" ht="15">
      <c r="A91" s="26"/>
      <c r="B91" s="44"/>
      <c r="C91" s="26"/>
      <c r="D91" s="40"/>
      <c r="E91" s="54"/>
      <c r="F91" s="58"/>
      <c r="G91" s="59"/>
      <c r="H91" s="60"/>
      <c r="I91" s="61"/>
      <c r="J91" s="58"/>
    </row>
    <row r="92" spans="1:10" ht="15">
      <c r="A92" s="26"/>
      <c r="B92" s="44"/>
      <c r="C92" s="26"/>
      <c r="D92" s="40"/>
      <c r="E92" s="54" t="s">
        <v>104</v>
      </c>
      <c r="F92" s="58">
        <f>SUM(F89:F91)</f>
        <v>0</v>
      </c>
      <c r="G92" s="59">
        <f>SUM(G89:G91)</f>
        <v>0</v>
      </c>
      <c r="H92" s="60">
        <f>SUM(H89:H91)</f>
        <v>0</v>
      </c>
      <c r="I92" s="61">
        <f>SUM(I89:I91)</f>
        <v>1137.35</v>
      </c>
      <c r="J92" s="58">
        <f>H92-I92</f>
        <v>-1137.35</v>
      </c>
    </row>
    <row r="93" spans="1:10" ht="15">
      <c r="A93" s="26"/>
      <c r="B93" s="44"/>
      <c r="C93" s="26"/>
      <c r="D93" s="40"/>
      <c r="E93" s="54"/>
      <c r="F93" s="58"/>
      <c r="G93" s="59"/>
      <c r="H93" s="60"/>
      <c r="I93" s="61"/>
      <c r="J93" s="58"/>
    </row>
    <row r="94" spans="1:10" ht="15">
      <c r="A94" s="26">
        <v>46312</v>
      </c>
      <c r="B94" s="44"/>
      <c r="C94" s="26" t="s">
        <v>105</v>
      </c>
      <c r="D94" s="40"/>
      <c r="E94" s="54"/>
      <c r="F94" s="58"/>
      <c r="G94" s="59">
        <v>18.28</v>
      </c>
      <c r="H94" s="60">
        <f>SUM(F94:G94)</f>
        <v>18.28</v>
      </c>
      <c r="I94" s="61">
        <v>18.28</v>
      </c>
      <c r="J94" s="58">
        <f>H94-I94</f>
        <v>0</v>
      </c>
    </row>
    <row r="95" spans="1:10" ht="15">
      <c r="A95" s="26"/>
      <c r="B95" s="44"/>
      <c r="C95" s="26"/>
      <c r="D95" s="40"/>
      <c r="E95" s="54"/>
      <c r="F95" s="58"/>
      <c r="G95" s="59"/>
      <c r="H95" s="60"/>
      <c r="I95" s="61"/>
      <c r="J95" s="58"/>
    </row>
    <row r="96" spans="1:10" ht="15">
      <c r="A96" s="26">
        <v>46321</v>
      </c>
      <c r="B96" s="44"/>
      <c r="C96" s="26" t="s">
        <v>115</v>
      </c>
      <c r="D96" s="40"/>
      <c r="E96" s="54"/>
      <c r="F96" s="58"/>
      <c r="G96" s="59"/>
      <c r="H96" s="60">
        <f aca="true" t="shared" si="2" ref="H96:H117">SUM(F96:G96)</f>
        <v>0</v>
      </c>
      <c r="I96" s="61">
        <v>543.39</v>
      </c>
      <c r="J96" s="58">
        <f aca="true" t="shared" si="3" ref="J96:J117">H96-I96</f>
        <v>-543.39</v>
      </c>
    </row>
    <row r="97" spans="1:10" ht="15">
      <c r="A97" s="26"/>
      <c r="B97" s="44"/>
      <c r="C97" s="26" t="s">
        <v>116</v>
      </c>
      <c r="D97" s="40"/>
      <c r="E97" s="54"/>
      <c r="F97" s="58"/>
      <c r="G97" s="59">
        <v>182.39</v>
      </c>
      <c r="H97" s="60">
        <f t="shared" si="2"/>
        <v>182.39</v>
      </c>
      <c r="I97" s="61">
        <v>182.39</v>
      </c>
      <c r="J97" s="58">
        <f t="shared" si="3"/>
        <v>0</v>
      </c>
    </row>
    <row r="98" spans="1:10" ht="15">
      <c r="A98" s="26"/>
      <c r="B98" s="44"/>
      <c r="C98" s="26" t="s">
        <v>117</v>
      </c>
      <c r="D98" s="40"/>
      <c r="E98" s="54"/>
      <c r="F98" s="58"/>
      <c r="G98" s="59"/>
      <c r="H98" s="60">
        <f t="shared" si="2"/>
        <v>0</v>
      </c>
      <c r="I98" s="61">
        <v>679.34</v>
      </c>
      <c r="J98" s="58">
        <f t="shared" si="3"/>
        <v>-679.34</v>
      </c>
    </row>
    <row r="99" spans="1:10" ht="15">
      <c r="A99" s="26"/>
      <c r="B99" s="44"/>
      <c r="C99" s="26" t="s">
        <v>118</v>
      </c>
      <c r="D99" s="40"/>
      <c r="E99" s="54"/>
      <c r="F99" s="58"/>
      <c r="G99" s="59">
        <v>328.54</v>
      </c>
      <c r="H99" s="60">
        <f t="shared" si="2"/>
        <v>328.54</v>
      </c>
      <c r="I99" s="61">
        <v>328.54</v>
      </c>
      <c r="J99" s="58">
        <f t="shared" si="3"/>
        <v>0</v>
      </c>
    </row>
    <row r="100" spans="1:10" ht="15">
      <c r="A100" s="26"/>
      <c r="B100" s="44"/>
      <c r="C100" s="26" t="s">
        <v>119</v>
      </c>
      <c r="D100" s="40"/>
      <c r="E100" s="54"/>
      <c r="F100" s="58"/>
      <c r="G100" s="59"/>
      <c r="H100" s="60">
        <f t="shared" si="2"/>
        <v>0</v>
      </c>
      <c r="I100" s="61">
        <v>260.17</v>
      </c>
      <c r="J100" s="58">
        <f t="shared" si="3"/>
        <v>-260.17</v>
      </c>
    </row>
    <row r="101" spans="1:10" ht="15">
      <c r="A101" s="26"/>
      <c r="B101" s="44"/>
      <c r="C101" s="26" t="s">
        <v>120</v>
      </c>
      <c r="D101" s="40"/>
      <c r="E101" s="54"/>
      <c r="F101" s="58"/>
      <c r="G101" s="59">
        <v>379.22</v>
      </c>
      <c r="H101" s="60">
        <f t="shared" si="2"/>
        <v>379.22</v>
      </c>
      <c r="I101" s="61">
        <v>379.22</v>
      </c>
      <c r="J101" s="58">
        <f t="shared" si="3"/>
        <v>0</v>
      </c>
    </row>
    <row r="102" spans="1:10" ht="15">
      <c r="A102" s="26"/>
      <c r="B102" s="44"/>
      <c r="C102" s="26" t="s">
        <v>153</v>
      </c>
      <c r="D102" s="40"/>
      <c r="E102" s="54"/>
      <c r="F102" s="58"/>
      <c r="G102" s="59">
        <v>34.97</v>
      </c>
      <c r="H102" s="60">
        <f t="shared" si="2"/>
        <v>34.97</v>
      </c>
      <c r="I102" s="61">
        <v>34.97</v>
      </c>
      <c r="J102" s="58">
        <f t="shared" si="3"/>
        <v>0</v>
      </c>
    </row>
    <row r="103" spans="1:10" ht="15">
      <c r="A103" s="26"/>
      <c r="B103" s="44"/>
      <c r="C103" s="26" t="s">
        <v>152</v>
      </c>
      <c r="D103" s="40"/>
      <c r="E103" s="54"/>
      <c r="F103" s="58"/>
      <c r="G103" s="59">
        <v>385</v>
      </c>
      <c r="H103" s="60">
        <f t="shared" si="2"/>
        <v>385</v>
      </c>
      <c r="I103" s="61">
        <v>385</v>
      </c>
      <c r="J103" s="58">
        <f t="shared" si="3"/>
        <v>0</v>
      </c>
    </row>
    <row r="104" spans="1:10" ht="15">
      <c r="A104" s="26"/>
      <c r="B104" s="44">
        <v>39021</v>
      </c>
      <c r="C104" s="26" t="s">
        <v>162</v>
      </c>
      <c r="D104" s="40"/>
      <c r="E104" s="54"/>
      <c r="F104" s="58"/>
      <c r="G104" s="59">
        <v>269.4</v>
      </c>
      <c r="H104" s="60">
        <f t="shared" si="2"/>
        <v>269.4</v>
      </c>
      <c r="I104" s="61">
        <v>269.4</v>
      </c>
      <c r="J104" s="58">
        <f t="shared" si="3"/>
        <v>0</v>
      </c>
    </row>
    <row r="105" spans="1:10" ht="15">
      <c r="A105" s="26"/>
      <c r="B105" s="44"/>
      <c r="C105" s="26" t="s">
        <v>152</v>
      </c>
      <c r="D105" s="40"/>
      <c r="E105" s="54"/>
      <c r="F105" s="58"/>
      <c r="G105" s="59">
        <v>36</v>
      </c>
      <c r="H105" s="60">
        <f t="shared" si="2"/>
        <v>36</v>
      </c>
      <c r="I105" s="61">
        <v>36</v>
      </c>
      <c r="J105" s="58">
        <f t="shared" si="3"/>
        <v>0</v>
      </c>
    </row>
    <row r="106" spans="1:10" ht="15">
      <c r="A106" s="26"/>
      <c r="B106" s="44"/>
      <c r="C106" s="26" t="s">
        <v>186</v>
      </c>
      <c r="D106" s="40"/>
      <c r="E106" s="54"/>
      <c r="F106" s="58"/>
      <c r="G106" s="59"/>
      <c r="H106" s="60">
        <f t="shared" si="2"/>
        <v>0</v>
      </c>
      <c r="I106" s="61">
        <v>14.6</v>
      </c>
      <c r="J106" s="58">
        <f t="shared" si="3"/>
        <v>-14.6</v>
      </c>
    </row>
    <row r="107" spans="1:10" ht="15">
      <c r="A107" s="26"/>
      <c r="B107" s="44"/>
      <c r="C107" s="26" t="s">
        <v>187</v>
      </c>
      <c r="D107" s="40"/>
      <c r="E107" s="54"/>
      <c r="F107" s="58"/>
      <c r="G107" s="59"/>
      <c r="H107" s="60">
        <f t="shared" si="2"/>
        <v>0</v>
      </c>
      <c r="I107" s="61">
        <v>239.2</v>
      </c>
      <c r="J107" s="58">
        <f t="shared" si="3"/>
        <v>-239.2</v>
      </c>
    </row>
    <row r="108" spans="1:10" ht="15">
      <c r="A108" s="26"/>
      <c r="B108" s="44"/>
      <c r="C108" s="26" t="s">
        <v>188</v>
      </c>
      <c r="D108" s="40"/>
      <c r="E108" s="54"/>
      <c r="F108" s="58"/>
      <c r="G108" s="59"/>
      <c r="H108" s="60">
        <f t="shared" si="2"/>
        <v>0</v>
      </c>
      <c r="I108" s="61">
        <v>283.69</v>
      </c>
      <c r="J108" s="58">
        <f t="shared" si="3"/>
        <v>-283.69</v>
      </c>
    </row>
    <row r="109" spans="1:11" ht="15">
      <c r="A109" s="26"/>
      <c r="B109" s="44"/>
      <c r="C109" s="26" t="s">
        <v>189</v>
      </c>
      <c r="D109" s="40"/>
      <c r="E109" s="54"/>
      <c r="F109" s="58"/>
      <c r="G109" s="59"/>
      <c r="H109" s="60">
        <f t="shared" si="2"/>
        <v>0</v>
      </c>
      <c r="I109" s="61">
        <v>281.89</v>
      </c>
      <c r="J109" s="58">
        <f t="shared" si="3"/>
        <v>-281.89</v>
      </c>
      <c r="K109" s="27" t="s">
        <v>201</v>
      </c>
    </row>
    <row r="110" spans="1:11" ht="15">
      <c r="A110" s="26"/>
      <c r="B110" s="44"/>
      <c r="C110" s="26" t="s">
        <v>190</v>
      </c>
      <c r="D110" s="40"/>
      <c r="E110" s="54"/>
      <c r="F110" s="58"/>
      <c r="G110" s="59"/>
      <c r="H110" s="60">
        <f t="shared" si="2"/>
        <v>0</v>
      </c>
      <c r="I110" s="61">
        <v>272.74</v>
      </c>
      <c r="J110" s="58">
        <f t="shared" si="3"/>
        <v>-272.74</v>
      </c>
      <c r="K110" s="27" t="s">
        <v>201</v>
      </c>
    </row>
    <row r="111" spans="1:10" ht="15">
      <c r="A111" s="26"/>
      <c r="B111" s="44"/>
      <c r="C111" s="26" t="s">
        <v>191</v>
      </c>
      <c r="D111" s="40"/>
      <c r="E111" s="54"/>
      <c r="F111" s="58"/>
      <c r="G111" s="59"/>
      <c r="H111" s="60">
        <f t="shared" si="2"/>
        <v>0</v>
      </c>
      <c r="I111" s="61">
        <v>531.05</v>
      </c>
      <c r="J111" s="58">
        <f t="shared" si="3"/>
        <v>-531.05</v>
      </c>
    </row>
    <row r="112" spans="1:10" ht="15">
      <c r="A112" s="26"/>
      <c r="B112" s="44"/>
      <c r="C112" s="26" t="s">
        <v>192</v>
      </c>
      <c r="D112" s="40"/>
      <c r="E112" s="54"/>
      <c r="F112" s="58"/>
      <c r="G112" s="59"/>
      <c r="H112" s="60">
        <f t="shared" si="2"/>
        <v>0</v>
      </c>
      <c r="I112" s="61">
        <v>810.59</v>
      </c>
      <c r="J112" s="58">
        <f t="shared" si="3"/>
        <v>-810.59</v>
      </c>
    </row>
    <row r="113" spans="1:10" ht="15">
      <c r="A113" s="26"/>
      <c r="B113" s="44"/>
      <c r="C113" s="26" t="s">
        <v>193</v>
      </c>
      <c r="D113" s="40"/>
      <c r="E113" s="54"/>
      <c r="F113" s="58"/>
      <c r="G113" s="59"/>
      <c r="H113" s="60">
        <f t="shared" si="2"/>
        <v>0</v>
      </c>
      <c r="I113" s="61">
        <v>616.91</v>
      </c>
      <c r="J113" s="58">
        <f t="shared" si="3"/>
        <v>-616.91</v>
      </c>
    </row>
    <row r="114" spans="1:10" ht="15">
      <c r="A114" s="26"/>
      <c r="B114" s="44"/>
      <c r="C114" s="26" t="s">
        <v>194</v>
      </c>
      <c r="D114" s="40"/>
      <c r="E114" s="54"/>
      <c r="F114" s="58"/>
      <c r="G114" s="59"/>
      <c r="H114" s="60">
        <f t="shared" si="2"/>
        <v>0</v>
      </c>
      <c r="I114" s="61">
        <v>74.4</v>
      </c>
      <c r="J114" s="58">
        <f t="shared" si="3"/>
        <v>-74.4</v>
      </c>
    </row>
    <row r="115" spans="1:10" ht="15">
      <c r="A115" s="26"/>
      <c r="B115" s="44"/>
      <c r="C115" s="26" t="s">
        <v>195</v>
      </c>
      <c r="D115" s="40"/>
      <c r="E115" s="54"/>
      <c r="F115" s="58"/>
      <c r="G115" s="59"/>
      <c r="H115" s="60">
        <f t="shared" si="2"/>
        <v>0</v>
      </c>
      <c r="I115" s="61">
        <v>335.51</v>
      </c>
      <c r="J115" s="58">
        <f t="shared" si="3"/>
        <v>-335.51</v>
      </c>
    </row>
    <row r="116" spans="1:10" ht="15">
      <c r="A116" s="26"/>
      <c r="B116" s="44"/>
      <c r="C116" s="26" t="s">
        <v>196</v>
      </c>
      <c r="D116" s="40"/>
      <c r="E116" s="54"/>
      <c r="F116" s="58"/>
      <c r="G116" s="59"/>
      <c r="H116" s="60">
        <f t="shared" si="2"/>
        <v>0</v>
      </c>
      <c r="I116" s="61">
        <v>570.01</v>
      </c>
      <c r="J116" s="58">
        <f t="shared" si="3"/>
        <v>-570.01</v>
      </c>
    </row>
    <row r="117" spans="1:10" ht="15">
      <c r="A117" s="26"/>
      <c r="B117" s="44"/>
      <c r="C117" s="26" t="s">
        <v>197</v>
      </c>
      <c r="D117" s="40"/>
      <c r="E117" s="54"/>
      <c r="F117" s="58"/>
      <c r="G117" s="59"/>
      <c r="H117" s="60">
        <f t="shared" si="2"/>
        <v>0</v>
      </c>
      <c r="I117" s="61">
        <v>256.61</v>
      </c>
      <c r="J117" s="58">
        <f t="shared" si="3"/>
        <v>-256.61</v>
      </c>
    </row>
    <row r="118" spans="1:10" ht="15">
      <c r="A118" s="26"/>
      <c r="B118" s="44"/>
      <c r="C118" s="26"/>
      <c r="D118" s="40"/>
      <c r="E118" s="54"/>
      <c r="F118" s="58"/>
      <c r="G118" s="59"/>
      <c r="H118" s="60"/>
      <c r="I118" s="61"/>
      <c r="J118" s="58"/>
    </row>
    <row r="119" spans="1:10" ht="15">
      <c r="A119" s="26"/>
      <c r="B119" s="44"/>
      <c r="C119" s="26"/>
      <c r="D119" s="40"/>
      <c r="E119" s="54" t="s">
        <v>121</v>
      </c>
      <c r="F119" s="58">
        <f>SUM(F96:F117)</f>
        <v>0</v>
      </c>
      <c r="G119" s="59">
        <f>SUM(G96:G117)</f>
        <v>1615.52</v>
      </c>
      <c r="H119" s="60">
        <f>SUM(H96:H117)</f>
        <v>1615.52</v>
      </c>
      <c r="I119" s="61">
        <f>SUM(I96:I118)</f>
        <v>7385.62</v>
      </c>
      <c r="J119" s="58">
        <f>SUM(J96:J118)</f>
        <v>-5770.1</v>
      </c>
    </row>
    <row r="120" spans="1:10" ht="15">
      <c r="A120" s="26"/>
      <c r="B120" s="44"/>
      <c r="C120" s="26"/>
      <c r="D120" s="40"/>
      <c r="E120" s="54"/>
      <c r="F120" s="58"/>
      <c r="G120" s="59"/>
      <c r="H120" s="60"/>
      <c r="I120" s="61"/>
      <c r="J120" s="58"/>
    </row>
    <row r="121" spans="1:10" ht="15">
      <c r="A121" s="26">
        <v>4663</v>
      </c>
      <c r="B121" s="44">
        <v>38718</v>
      </c>
      <c r="C121" s="26" t="s">
        <v>112</v>
      </c>
      <c r="D121" s="40"/>
      <c r="E121" s="54"/>
      <c r="F121" s="58">
        <f>540.9</f>
        <v>540.9</v>
      </c>
      <c r="G121" s="59">
        <v>108.56</v>
      </c>
      <c r="H121" s="60">
        <f>SUM(F121:G121)</f>
        <v>649.46</v>
      </c>
      <c r="I121" s="61">
        <f>542.74+106.72</f>
        <v>649.46</v>
      </c>
      <c r="J121" s="58">
        <f aca="true" t="shared" si="4" ref="J121:J138">H121-I121</f>
        <v>0</v>
      </c>
    </row>
    <row r="122" spans="1:10" ht="15">
      <c r="A122" s="26">
        <v>4663</v>
      </c>
      <c r="B122" s="44">
        <v>38899</v>
      </c>
      <c r="C122" s="26" t="s">
        <v>148</v>
      </c>
      <c r="D122" s="40"/>
      <c r="E122" s="54"/>
      <c r="F122" s="58"/>
      <c r="G122" s="59">
        <f>149.27+0.46</f>
        <v>149.73000000000002</v>
      </c>
      <c r="H122" s="60">
        <f>SUM(F122:G122)</f>
        <v>149.73000000000002</v>
      </c>
      <c r="I122" s="61">
        <v>149.73</v>
      </c>
      <c r="J122" s="58">
        <f t="shared" si="4"/>
        <v>0</v>
      </c>
    </row>
    <row r="123" spans="1:10" ht="15">
      <c r="A123" s="26"/>
      <c r="B123" s="44"/>
      <c r="C123" s="26" t="s">
        <v>149</v>
      </c>
      <c r="D123" s="40"/>
      <c r="E123" s="54"/>
      <c r="F123" s="58">
        <v>90.9</v>
      </c>
      <c r="G123" s="59"/>
      <c r="H123" s="60">
        <f>SUM(F123:G123)</f>
        <v>90.9</v>
      </c>
      <c r="I123" s="61">
        <v>90.9</v>
      </c>
      <c r="J123" s="58">
        <f t="shared" si="4"/>
        <v>0</v>
      </c>
    </row>
    <row r="124" spans="1:10" ht="15">
      <c r="A124" s="26"/>
      <c r="B124" s="44"/>
      <c r="C124" s="26" t="s">
        <v>182</v>
      </c>
      <c r="D124" s="40"/>
      <c r="E124" s="54"/>
      <c r="F124" s="58"/>
      <c r="G124" s="59">
        <v>20.9</v>
      </c>
      <c r="H124" s="60">
        <f>SUM(F124:G124)</f>
        <v>20.9</v>
      </c>
      <c r="I124" s="61">
        <v>20.9</v>
      </c>
      <c r="J124" s="58">
        <f>H124-I124</f>
        <v>0</v>
      </c>
    </row>
    <row r="125" spans="1:10" ht="15">
      <c r="A125" s="26"/>
      <c r="B125" s="44">
        <v>39052</v>
      </c>
      <c r="C125" s="26" t="s">
        <v>185</v>
      </c>
      <c r="D125" s="40"/>
      <c r="E125" s="54"/>
      <c r="F125" s="58"/>
      <c r="G125" s="59">
        <v>20.1</v>
      </c>
      <c r="H125" s="60">
        <f>SUM(F125:G125)</f>
        <v>20.1</v>
      </c>
      <c r="I125" s="61"/>
      <c r="J125" s="58">
        <f>H125-I125</f>
        <v>20.1</v>
      </c>
    </row>
    <row r="126" spans="1:10" ht="15">
      <c r="A126" s="26"/>
      <c r="B126" s="44"/>
      <c r="C126" s="26"/>
      <c r="D126" s="40"/>
      <c r="E126" s="54"/>
      <c r="F126" s="58"/>
      <c r="G126" s="59"/>
      <c r="H126" s="60"/>
      <c r="I126" s="61"/>
      <c r="J126" s="58"/>
    </row>
    <row r="127" spans="1:10" ht="15">
      <c r="A127" s="26"/>
      <c r="B127" s="44"/>
      <c r="C127" s="26"/>
      <c r="D127" s="40"/>
      <c r="E127" s="54" t="s">
        <v>113</v>
      </c>
      <c r="F127" s="58">
        <f>SUM(F121:F125)</f>
        <v>631.8</v>
      </c>
      <c r="G127" s="59">
        <f>SUM(G121:G125)</f>
        <v>299.29</v>
      </c>
      <c r="H127" s="60">
        <f>SUM(H121:H125)</f>
        <v>931.09</v>
      </c>
      <c r="I127" s="61">
        <f>SUM(I121:I126)</f>
        <v>910.99</v>
      </c>
      <c r="J127" s="58">
        <f>SUM(J121:J126)</f>
        <v>20.1</v>
      </c>
    </row>
    <row r="128" spans="1:10" ht="15">
      <c r="A128" s="26"/>
      <c r="B128" s="44"/>
      <c r="C128" s="26"/>
      <c r="D128" s="40"/>
      <c r="E128" s="54"/>
      <c r="F128" s="58"/>
      <c r="G128" s="59"/>
      <c r="H128" s="60"/>
      <c r="I128" s="61"/>
      <c r="J128" s="58"/>
    </row>
    <row r="129" spans="1:10" ht="15">
      <c r="A129" s="26">
        <v>4664</v>
      </c>
      <c r="B129" s="44"/>
      <c r="C129" s="26" t="s">
        <v>172</v>
      </c>
      <c r="D129" s="40"/>
      <c r="E129" s="54"/>
      <c r="F129" s="58"/>
      <c r="G129" s="59">
        <v>156</v>
      </c>
      <c r="H129" s="60">
        <f aca="true" t="shared" si="5" ref="H129:H138">SUM(F129:G129)</f>
        <v>156</v>
      </c>
      <c r="I129" s="61"/>
      <c r="J129" s="58">
        <f t="shared" si="4"/>
        <v>156</v>
      </c>
    </row>
    <row r="130" spans="1:10" ht="15">
      <c r="A130" s="26">
        <v>4664</v>
      </c>
      <c r="B130" s="44"/>
      <c r="C130" s="26" t="s">
        <v>171</v>
      </c>
      <c r="D130" s="40"/>
      <c r="E130" s="54"/>
      <c r="F130" s="58"/>
      <c r="G130" s="59">
        <v>79.08</v>
      </c>
      <c r="H130" s="60">
        <f t="shared" si="5"/>
        <v>79.08</v>
      </c>
      <c r="I130" s="61"/>
      <c r="J130" s="58">
        <f t="shared" si="4"/>
        <v>79.08</v>
      </c>
    </row>
    <row r="131" spans="1:10" ht="15">
      <c r="A131" s="26">
        <v>4664</v>
      </c>
      <c r="B131" s="44"/>
      <c r="C131" s="26" t="s">
        <v>173</v>
      </c>
      <c r="D131" s="40"/>
      <c r="E131" s="54"/>
      <c r="F131" s="58"/>
      <c r="G131" s="59">
        <v>79.08</v>
      </c>
      <c r="H131" s="60">
        <f t="shared" si="5"/>
        <v>79.08</v>
      </c>
      <c r="I131" s="61">
        <v>79.08</v>
      </c>
      <c r="J131" s="58">
        <f t="shared" si="4"/>
        <v>0</v>
      </c>
    </row>
    <row r="132" spans="1:10" ht="15">
      <c r="A132" s="26">
        <v>4664</v>
      </c>
      <c r="B132" s="44"/>
      <c r="C132" s="26" t="s">
        <v>174</v>
      </c>
      <c r="D132" s="40"/>
      <c r="E132" s="54"/>
      <c r="F132" s="58"/>
      <c r="G132" s="59">
        <v>148.19</v>
      </c>
      <c r="H132" s="60">
        <f t="shared" si="5"/>
        <v>148.19</v>
      </c>
      <c r="I132" s="61"/>
      <c r="J132" s="58">
        <f t="shared" si="4"/>
        <v>148.19</v>
      </c>
    </row>
    <row r="133" spans="1:10" ht="15">
      <c r="A133" s="26">
        <v>4664</v>
      </c>
      <c r="B133" s="44"/>
      <c r="C133" s="26" t="s">
        <v>175</v>
      </c>
      <c r="D133" s="40"/>
      <c r="E133" s="54"/>
      <c r="F133" s="58"/>
      <c r="G133" s="59">
        <v>48.19</v>
      </c>
      <c r="H133" s="60">
        <f t="shared" si="5"/>
        <v>48.19</v>
      </c>
      <c r="I133" s="61"/>
      <c r="J133" s="58">
        <f t="shared" si="4"/>
        <v>48.19</v>
      </c>
    </row>
    <row r="134" spans="1:10" ht="15">
      <c r="A134" s="26">
        <v>4664</v>
      </c>
      <c r="B134" s="44"/>
      <c r="C134" s="26" t="s">
        <v>176</v>
      </c>
      <c r="D134" s="40"/>
      <c r="E134" s="54"/>
      <c r="F134" s="58"/>
      <c r="G134" s="59">
        <v>148.19</v>
      </c>
      <c r="H134" s="60">
        <f t="shared" si="5"/>
        <v>148.19</v>
      </c>
      <c r="I134" s="61"/>
      <c r="J134" s="58">
        <f t="shared" si="4"/>
        <v>148.19</v>
      </c>
    </row>
    <row r="135" spans="1:10" ht="15">
      <c r="A135" s="26">
        <v>4664</v>
      </c>
      <c r="B135" s="44"/>
      <c r="C135" s="26" t="s">
        <v>177</v>
      </c>
      <c r="D135" s="40"/>
      <c r="E135" s="54"/>
      <c r="F135" s="58"/>
      <c r="G135" s="59">
        <v>48.19</v>
      </c>
      <c r="H135" s="60">
        <f t="shared" si="5"/>
        <v>48.19</v>
      </c>
      <c r="I135" s="61"/>
      <c r="J135" s="58">
        <f t="shared" si="4"/>
        <v>48.19</v>
      </c>
    </row>
    <row r="136" spans="1:10" ht="15">
      <c r="A136" s="26">
        <v>4664</v>
      </c>
      <c r="B136" s="44"/>
      <c r="C136" s="26" t="s">
        <v>178</v>
      </c>
      <c r="D136" s="40"/>
      <c r="E136" s="54"/>
      <c r="F136" s="58"/>
      <c r="G136" s="59">
        <v>78.19</v>
      </c>
      <c r="H136" s="60">
        <f t="shared" si="5"/>
        <v>78.19</v>
      </c>
      <c r="I136" s="61">
        <v>78.19</v>
      </c>
      <c r="J136" s="58">
        <f t="shared" si="4"/>
        <v>0</v>
      </c>
    </row>
    <row r="137" spans="1:10" ht="15">
      <c r="A137" s="26"/>
      <c r="B137" s="44"/>
      <c r="C137" s="26"/>
      <c r="D137" s="40"/>
      <c r="E137" s="54"/>
      <c r="F137" s="58"/>
      <c r="G137" s="59"/>
      <c r="H137" s="60"/>
      <c r="I137" s="61"/>
      <c r="J137" s="58"/>
    </row>
    <row r="138" spans="1:10" ht="15">
      <c r="A138" s="26"/>
      <c r="B138" s="44"/>
      <c r="C138" s="26"/>
      <c r="D138" s="40"/>
      <c r="E138" s="54" t="s">
        <v>179</v>
      </c>
      <c r="F138" s="58"/>
      <c r="G138" s="59">
        <f>SUM(G129:G137)</f>
        <v>785.1100000000001</v>
      </c>
      <c r="H138" s="60">
        <f t="shared" si="5"/>
        <v>785.1100000000001</v>
      </c>
      <c r="I138" s="61">
        <f>SUM(I129:I137)</f>
        <v>157.26999999999998</v>
      </c>
      <c r="J138" s="58">
        <f t="shared" si="4"/>
        <v>627.8400000000001</v>
      </c>
    </row>
    <row r="139" spans="1:10" ht="15">
      <c r="A139" s="26"/>
      <c r="B139" s="44"/>
      <c r="C139" s="26"/>
      <c r="D139" s="40"/>
      <c r="E139" s="54"/>
      <c r="F139" s="58"/>
      <c r="G139" s="59"/>
      <c r="H139" s="60"/>
      <c r="I139" s="61"/>
      <c r="J139" s="58"/>
    </row>
    <row r="140" spans="1:10" ht="15">
      <c r="A140" s="26">
        <v>4672</v>
      </c>
      <c r="B140" s="44"/>
      <c r="C140" s="26" t="s">
        <v>38</v>
      </c>
      <c r="D140" s="40"/>
      <c r="E140" s="54"/>
      <c r="F140" s="58">
        <v>495.26</v>
      </c>
      <c r="G140" s="59"/>
      <c r="H140" s="60">
        <f>SUM(F140+G140)</f>
        <v>495.26</v>
      </c>
      <c r="I140" s="61"/>
      <c r="J140" s="58">
        <f>H140-I140</f>
        <v>495.26</v>
      </c>
    </row>
    <row r="141" spans="1:10" ht="15">
      <c r="A141" s="26"/>
      <c r="B141" s="44"/>
      <c r="C141" s="26"/>
      <c r="D141" s="40"/>
      <c r="E141" s="54"/>
      <c r="F141" s="58"/>
      <c r="G141" s="59"/>
      <c r="H141" s="60"/>
      <c r="I141" s="61"/>
      <c r="J141" s="58"/>
    </row>
    <row r="142" spans="1:10" ht="15">
      <c r="A142" s="26">
        <v>468263</v>
      </c>
      <c r="B142" s="44"/>
      <c r="C142" s="26" t="s">
        <v>157</v>
      </c>
      <c r="D142" s="40" t="s">
        <v>27</v>
      </c>
      <c r="E142" s="54"/>
      <c r="F142" s="58"/>
      <c r="G142" s="59">
        <v>648</v>
      </c>
      <c r="H142" s="60">
        <f>SUM(F142:G142)</f>
        <v>648</v>
      </c>
      <c r="I142" s="61">
        <v>648</v>
      </c>
      <c r="J142" s="58">
        <f>H142-I142</f>
        <v>0</v>
      </c>
    </row>
    <row r="143" spans="1:10" ht="15">
      <c r="A143" s="26">
        <v>468263</v>
      </c>
      <c r="B143" s="44"/>
      <c r="C143" s="26" t="s">
        <v>114</v>
      </c>
      <c r="D143" s="40" t="s">
        <v>94</v>
      </c>
      <c r="E143" s="54"/>
      <c r="F143" s="58"/>
      <c r="G143" s="59">
        <v>600</v>
      </c>
      <c r="H143" s="60">
        <f>SUM(F143:G143)</f>
        <v>600</v>
      </c>
      <c r="I143" s="61">
        <v>600</v>
      </c>
      <c r="J143" s="58">
        <f>H143-I143</f>
        <v>0</v>
      </c>
    </row>
    <row r="144" spans="1:10" ht="15">
      <c r="A144" s="26">
        <v>468263</v>
      </c>
      <c r="B144" s="44"/>
      <c r="C144" s="26" t="s">
        <v>158</v>
      </c>
      <c r="D144" s="40" t="s">
        <v>94</v>
      </c>
      <c r="E144" s="54"/>
      <c r="F144" s="58"/>
      <c r="G144" s="59">
        <v>900</v>
      </c>
      <c r="H144" s="60">
        <f>SUM(F144:G144)</f>
        <v>900</v>
      </c>
      <c r="I144" s="61">
        <v>900</v>
      </c>
      <c r="J144" s="58">
        <f>H144-I144</f>
        <v>0</v>
      </c>
    </row>
    <row r="145" spans="1:10" ht="15">
      <c r="A145" s="26">
        <v>468263</v>
      </c>
      <c r="B145" s="44"/>
      <c r="C145" s="26" t="s">
        <v>159</v>
      </c>
      <c r="D145" s="40" t="s">
        <v>94</v>
      </c>
      <c r="E145" s="54"/>
      <c r="F145" s="58"/>
      <c r="G145" s="59">
        <v>1200</v>
      </c>
      <c r="H145" s="60">
        <f>SUM(F145:G145)</f>
        <v>1200</v>
      </c>
      <c r="I145" s="61">
        <v>1200</v>
      </c>
      <c r="J145" s="58">
        <f>H145-I145</f>
        <v>0</v>
      </c>
    </row>
    <row r="146" spans="1:10" ht="15">
      <c r="A146" s="26"/>
      <c r="B146" s="44"/>
      <c r="C146" s="26"/>
      <c r="D146" s="40"/>
      <c r="E146" s="54"/>
      <c r="F146" s="58"/>
      <c r="G146" s="59"/>
      <c r="H146" s="60"/>
      <c r="I146" s="61"/>
      <c r="J146" s="58"/>
    </row>
    <row r="147" spans="1:10" ht="15">
      <c r="A147" s="26"/>
      <c r="B147" s="44"/>
      <c r="C147" s="26"/>
      <c r="D147" s="40"/>
      <c r="E147" s="54" t="s">
        <v>160</v>
      </c>
      <c r="F147" s="58">
        <f>SUM(F142:F146)</f>
        <v>0</v>
      </c>
      <c r="G147" s="59">
        <f>SUM(G142:G146)</f>
        <v>3348</v>
      </c>
      <c r="H147" s="60">
        <f>SUM(H142:H146)</f>
        <v>3348</v>
      </c>
      <c r="I147" s="61">
        <f>SUM(I142:I146)</f>
        <v>3348</v>
      </c>
      <c r="J147" s="58">
        <f>SUM(J142:J146)</f>
        <v>0</v>
      </c>
    </row>
    <row r="148" spans="1:10" ht="15">
      <c r="A148" s="26"/>
      <c r="B148" s="44"/>
      <c r="C148" s="26"/>
      <c r="D148" s="40"/>
      <c r="E148" s="54"/>
      <c r="F148" s="58"/>
      <c r="G148" s="59"/>
      <c r="H148" s="60"/>
      <c r="I148" s="61"/>
      <c r="J148" s="58"/>
    </row>
    <row r="149" spans="1:10" ht="15">
      <c r="A149" s="26">
        <v>468623</v>
      </c>
      <c r="B149" s="44">
        <v>38348</v>
      </c>
      <c r="C149" s="26" t="s">
        <v>72</v>
      </c>
      <c r="D149" s="40" t="s">
        <v>2</v>
      </c>
      <c r="E149" s="54"/>
      <c r="F149" s="58">
        <v>2274.59</v>
      </c>
      <c r="G149" s="59"/>
      <c r="H149" s="60">
        <f>SUM(F149+G149)</f>
        <v>2274.59</v>
      </c>
      <c r="I149" s="61">
        <f>1650+624.59</f>
        <v>2274.59</v>
      </c>
      <c r="J149" s="58">
        <f>H149-I149</f>
        <v>0</v>
      </c>
    </row>
    <row r="150" spans="1:25" ht="15">
      <c r="A150" s="26">
        <v>468623</v>
      </c>
      <c r="B150" s="44">
        <v>38258</v>
      </c>
      <c r="C150" s="46" t="s">
        <v>141</v>
      </c>
      <c r="D150" s="40" t="s">
        <v>2</v>
      </c>
      <c r="E150" s="54"/>
      <c r="F150" s="58">
        <v>400</v>
      </c>
      <c r="G150" s="59"/>
      <c r="H150" s="60">
        <f>SUM(F150:G150)</f>
        <v>400</v>
      </c>
      <c r="I150" s="61">
        <v>400</v>
      </c>
      <c r="J150" s="58">
        <f>H150-I150</f>
        <v>0</v>
      </c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ht="15">
      <c r="A151" s="26">
        <v>468623</v>
      </c>
      <c r="B151" s="44">
        <v>38348</v>
      </c>
      <c r="C151" s="46" t="s">
        <v>142</v>
      </c>
      <c r="D151" s="40" t="s">
        <v>2</v>
      </c>
      <c r="E151" s="54"/>
      <c r="F151" s="58">
        <v>110.75</v>
      </c>
      <c r="G151" s="59"/>
      <c r="H151" s="60">
        <f>SUM(F151:G151)</f>
        <v>110.75</v>
      </c>
      <c r="I151" s="61">
        <v>110.75</v>
      </c>
      <c r="J151" s="58">
        <f>H151-I151</f>
        <v>0</v>
      </c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ht="15">
      <c r="A152" s="26"/>
      <c r="B152" s="44"/>
      <c r="C152" s="46" t="s">
        <v>88</v>
      </c>
      <c r="D152" s="40" t="s">
        <v>27</v>
      </c>
      <c r="E152" s="54"/>
      <c r="F152" s="58">
        <v>275</v>
      </c>
      <c r="G152" s="59"/>
      <c r="H152" s="60">
        <f>SUM(F152:G152)</f>
        <v>275</v>
      </c>
      <c r="I152" s="61">
        <v>275</v>
      </c>
      <c r="J152" s="58">
        <f>H152-I152</f>
        <v>0</v>
      </c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5">
      <c r="A153" s="26"/>
      <c r="B153" s="44"/>
      <c r="C153" s="46"/>
      <c r="D153" s="40"/>
      <c r="E153" s="54"/>
      <c r="F153" s="58"/>
      <c r="G153" s="59"/>
      <c r="H153" s="60"/>
      <c r="I153" s="61"/>
      <c r="J153" s="58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5">
      <c r="A154" s="26"/>
      <c r="B154" s="44"/>
      <c r="C154" s="26"/>
      <c r="D154" s="40"/>
      <c r="E154" s="54" t="s">
        <v>50</v>
      </c>
      <c r="F154" s="58">
        <f>SUM(F149:F153)</f>
        <v>3060.34</v>
      </c>
      <c r="G154" s="59"/>
      <c r="H154" s="60">
        <f>SUM(H149:H152)</f>
        <v>3060.34</v>
      </c>
      <c r="I154" s="61">
        <f>SUM(I149:I153)</f>
        <v>3060.34</v>
      </c>
      <c r="J154" s="58">
        <f>H154-I154</f>
        <v>0</v>
      </c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5">
      <c r="A155" s="26"/>
      <c r="B155" s="44"/>
      <c r="C155" s="26"/>
      <c r="D155" s="40"/>
      <c r="E155" s="54"/>
      <c r="F155" s="58"/>
      <c r="G155" s="59"/>
      <c r="H155" s="60"/>
      <c r="I155" s="61"/>
      <c r="J155" s="58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10" ht="15">
      <c r="A156" s="26">
        <v>468663</v>
      </c>
      <c r="B156" s="44">
        <v>36342</v>
      </c>
      <c r="C156" s="26" t="s">
        <v>25</v>
      </c>
      <c r="D156" s="40" t="s">
        <v>26</v>
      </c>
      <c r="E156" s="54"/>
      <c r="F156" s="58">
        <v>720.32</v>
      </c>
      <c r="G156" s="59"/>
      <c r="H156" s="60">
        <f aca="true" t="shared" si="6" ref="H156:H181">SUM(F156+G156)</f>
        <v>720.32</v>
      </c>
      <c r="I156" s="61"/>
      <c r="J156" s="58">
        <f aca="true" t="shared" si="7" ref="J156:J181">H156-I156</f>
        <v>720.32</v>
      </c>
    </row>
    <row r="157" spans="1:10" ht="15">
      <c r="A157" s="26">
        <v>468663</v>
      </c>
      <c r="B157" s="44">
        <v>37956</v>
      </c>
      <c r="C157" s="26" t="s">
        <v>76</v>
      </c>
      <c r="D157" s="40" t="s">
        <v>41</v>
      </c>
      <c r="E157" s="54"/>
      <c r="F157" s="58">
        <v>35.42</v>
      </c>
      <c r="G157" s="59"/>
      <c r="H157" s="60">
        <f t="shared" si="6"/>
        <v>35.42</v>
      </c>
      <c r="I157" s="61">
        <f>0.41+35.01</f>
        <v>35.419999999999995</v>
      </c>
      <c r="J157" s="58">
        <f t="shared" si="7"/>
        <v>0</v>
      </c>
    </row>
    <row r="158" spans="1:10" ht="15">
      <c r="A158" s="26">
        <v>468663</v>
      </c>
      <c r="B158" s="44">
        <v>37956</v>
      </c>
      <c r="C158" s="26" t="s">
        <v>78</v>
      </c>
      <c r="D158" s="40" t="s">
        <v>41</v>
      </c>
      <c r="E158" s="54"/>
      <c r="F158" s="58">
        <v>23.18</v>
      </c>
      <c r="G158" s="59"/>
      <c r="H158" s="60">
        <f t="shared" si="6"/>
        <v>23.18</v>
      </c>
      <c r="I158" s="61">
        <v>23.18</v>
      </c>
      <c r="J158" s="58">
        <f t="shared" si="7"/>
        <v>0</v>
      </c>
    </row>
    <row r="159" spans="1:10" ht="15">
      <c r="A159" s="26">
        <v>468663</v>
      </c>
      <c r="B159" s="44">
        <v>38384</v>
      </c>
      <c r="C159" s="26" t="s">
        <v>80</v>
      </c>
      <c r="D159" s="40" t="s">
        <v>27</v>
      </c>
      <c r="E159" s="54" t="s">
        <v>102</v>
      </c>
      <c r="F159" s="58">
        <v>480</v>
      </c>
      <c r="G159" s="59"/>
      <c r="H159" s="60">
        <f t="shared" si="6"/>
        <v>480</v>
      </c>
      <c r="I159" s="61">
        <f>271.68+20</f>
        <v>291.68</v>
      </c>
      <c r="J159" s="58">
        <f t="shared" si="7"/>
        <v>188.32</v>
      </c>
    </row>
    <row r="160" spans="1:10" ht="15">
      <c r="A160" s="26"/>
      <c r="B160" s="44"/>
      <c r="C160" s="26" t="s">
        <v>91</v>
      </c>
      <c r="D160" s="40" t="s">
        <v>90</v>
      </c>
      <c r="E160" s="54"/>
      <c r="F160" s="58">
        <v>730</v>
      </c>
      <c r="G160" s="59"/>
      <c r="H160" s="60">
        <f t="shared" si="6"/>
        <v>730</v>
      </c>
      <c r="I160" s="61">
        <f>455+295-20</f>
        <v>730</v>
      </c>
      <c r="J160" s="58">
        <f t="shared" si="7"/>
        <v>0</v>
      </c>
    </row>
    <row r="161" spans="1:10" ht="15">
      <c r="A161" s="26">
        <v>468663</v>
      </c>
      <c r="B161" s="44">
        <v>38628</v>
      </c>
      <c r="C161" s="26" t="s">
        <v>93</v>
      </c>
      <c r="D161" s="40" t="s">
        <v>27</v>
      </c>
      <c r="E161" s="54"/>
      <c r="F161" s="58">
        <v>-2160</v>
      </c>
      <c r="G161" s="59">
        <v>2160</v>
      </c>
      <c r="H161" s="60">
        <f t="shared" si="6"/>
        <v>0</v>
      </c>
      <c r="I161" s="61"/>
      <c r="J161" s="58">
        <f t="shared" si="7"/>
        <v>0</v>
      </c>
    </row>
    <row r="162" spans="1:10" ht="15">
      <c r="A162" s="26">
        <v>468663</v>
      </c>
      <c r="B162" s="44"/>
      <c r="C162" s="26" t="s">
        <v>95</v>
      </c>
      <c r="D162" s="40" t="s">
        <v>98</v>
      </c>
      <c r="E162" s="54"/>
      <c r="F162" s="58">
        <v>452</v>
      </c>
      <c r="G162" s="59"/>
      <c r="H162" s="60">
        <f t="shared" si="6"/>
        <v>452</v>
      </c>
      <c r="I162" s="61">
        <v>452</v>
      </c>
      <c r="J162" s="58">
        <f t="shared" si="7"/>
        <v>0</v>
      </c>
    </row>
    <row r="163" spans="1:10" ht="15">
      <c r="A163" s="26">
        <v>468663</v>
      </c>
      <c r="B163" s="44"/>
      <c r="C163" s="26" t="s">
        <v>97</v>
      </c>
      <c r="D163" s="40" t="s">
        <v>98</v>
      </c>
      <c r="E163" s="54"/>
      <c r="F163" s="58">
        <v>100</v>
      </c>
      <c r="G163" s="59"/>
      <c r="H163" s="60">
        <f t="shared" si="6"/>
        <v>100</v>
      </c>
      <c r="I163" s="61">
        <v>100</v>
      </c>
      <c r="J163" s="58">
        <f t="shared" si="7"/>
        <v>0</v>
      </c>
    </row>
    <row r="164" spans="1:10" ht="15">
      <c r="A164" s="26">
        <v>468663</v>
      </c>
      <c r="B164" s="44"/>
      <c r="C164" s="26" t="s">
        <v>89</v>
      </c>
      <c r="D164" s="40" t="s">
        <v>98</v>
      </c>
      <c r="E164" s="54"/>
      <c r="F164" s="58">
        <v>982.9</v>
      </c>
      <c r="G164" s="59"/>
      <c r="H164" s="60">
        <f t="shared" si="6"/>
        <v>982.9</v>
      </c>
      <c r="I164" s="61">
        <f>921.45+61.45</f>
        <v>982.9000000000001</v>
      </c>
      <c r="J164" s="58">
        <f t="shared" si="7"/>
        <v>0</v>
      </c>
    </row>
    <row r="165" spans="1:10" ht="15">
      <c r="A165" s="26">
        <v>468663</v>
      </c>
      <c r="B165" s="44">
        <v>38763</v>
      </c>
      <c r="C165" s="26" t="s">
        <v>96</v>
      </c>
      <c r="D165" s="40" t="s">
        <v>101</v>
      </c>
      <c r="E165" s="54"/>
      <c r="F165" s="58"/>
      <c r="G165" s="59">
        <v>655.89</v>
      </c>
      <c r="H165" s="60">
        <f t="shared" si="6"/>
        <v>655.89</v>
      </c>
      <c r="I165" s="61">
        <v>655.89</v>
      </c>
      <c r="J165" s="58">
        <f t="shared" si="7"/>
        <v>0</v>
      </c>
    </row>
    <row r="166" spans="1:10" ht="15">
      <c r="A166" s="26">
        <v>468663</v>
      </c>
      <c r="B166" s="44">
        <v>38833</v>
      </c>
      <c r="C166" s="26" t="s">
        <v>114</v>
      </c>
      <c r="D166" s="40" t="s">
        <v>27</v>
      </c>
      <c r="E166" s="54"/>
      <c r="F166" s="58"/>
      <c r="G166" s="59">
        <v>1620</v>
      </c>
      <c r="H166" s="60">
        <f t="shared" si="6"/>
        <v>1620</v>
      </c>
      <c r="I166" s="61">
        <v>1620</v>
      </c>
      <c r="J166" s="58">
        <f t="shared" si="7"/>
        <v>0</v>
      </c>
    </row>
    <row r="167" spans="1:10" ht="15">
      <c r="A167" s="26">
        <v>468663</v>
      </c>
      <c r="B167" s="44"/>
      <c r="C167" s="26" t="s">
        <v>143</v>
      </c>
      <c r="D167" s="40" t="s">
        <v>84</v>
      </c>
      <c r="E167" s="54"/>
      <c r="F167" s="58"/>
      <c r="G167" s="59">
        <v>2500</v>
      </c>
      <c r="H167" s="60">
        <f t="shared" si="6"/>
        <v>2500</v>
      </c>
      <c r="I167" s="61">
        <f>500+500+500+500+500</f>
        <v>2500</v>
      </c>
      <c r="J167" s="58">
        <f t="shared" si="7"/>
        <v>0</v>
      </c>
    </row>
    <row r="168" spans="1:10" ht="15">
      <c r="A168" s="26"/>
      <c r="B168" s="44"/>
      <c r="C168" s="26" t="s">
        <v>144</v>
      </c>
      <c r="D168" s="40" t="s">
        <v>81</v>
      </c>
      <c r="E168" s="54"/>
      <c r="F168" s="58"/>
      <c r="G168" s="59">
        <v>1250</v>
      </c>
      <c r="H168" s="60">
        <f t="shared" si="6"/>
        <v>1250</v>
      </c>
      <c r="I168" s="61">
        <v>1250</v>
      </c>
      <c r="J168" s="58">
        <f t="shared" si="7"/>
        <v>0</v>
      </c>
    </row>
    <row r="169" spans="1:10" ht="15">
      <c r="A169" s="26">
        <v>468663</v>
      </c>
      <c r="B169" s="44"/>
      <c r="C169" s="26" t="s">
        <v>155</v>
      </c>
      <c r="D169" s="40" t="s">
        <v>156</v>
      </c>
      <c r="E169" s="54"/>
      <c r="F169" s="58"/>
      <c r="G169" s="59">
        <v>1200</v>
      </c>
      <c r="H169" s="60">
        <f t="shared" si="6"/>
        <v>1200</v>
      </c>
      <c r="I169" s="61">
        <v>1200</v>
      </c>
      <c r="J169" s="58">
        <f t="shared" si="7"/>
        <v>0</v>
      </c>
    </row>
    <row r="170" spans="1:10" ht="15">
      <c r="A170" s="26">
        <v>468663</v>
      </c>
      <c r="B170" s="44"/>
      <c r="C170" s="26" t="s">
        <v>114</v>
      </c>
      <c r="D170" s="40" t="s">
        <v>94</v>
      </c>
      <c r="E170" s="54"/>
      <c r="F170" s="58"/>
      <c r="G170" s="59">
        <v>600</v>
      </c>
      <c r="H170" s="60">
        <f t="shared" si="6"/>
        <v>600</v>
      </c>
      <c r="I170" s="61">
        <v>600</v>
      </c>
      <c r="J170" s="58">
        <f t="shared" si="7"/>
        <v>0</v>
      </c>
    </row>
    <row r="171" spans="1:10" ht="15">
      <c r="A171" s="26">
        <v>468663</v>
      </c>
      <c r="B171" s="44"/>
      <c r="C171" s="26" t="s">
        <v>158</v>
      </c>
      <c r="D171" s="40" t="s">
        <v>94</v>
      </c>
      <c r="E171" s="54"/>
      <c r="F171" s="58"/>
      <c r="G171" s="59">
        <v>900</v>
      </c>
      <c r="H171" s="60">
        <f t="shared" si="6"/>
        <v>900</v>
      </c>
      <c r="I171" s="61">
        <v>900</v>
      </c>
      <c r="J171" s="58">
        <f t="shared" si="7"/>
        <v>0</v>
      </c>
    </row>
    <row r="172" spans="1:10" ht="15">
      <c r="A172" s="26">
        <v>468663</v>
      </c>
      <c r="B172" s="44"/>
      <c r="C172" s="26" t="s">
        <v>159</v>
      </c>
      <c r="D172" s="40" t="s">
        <v>94</v>
      </c>
      <c r="E172" s="54"/>
      <c r="F172" s="58"/>
      <c r="G172" s="59">
        <v>1200</v>
      </c>
      <c r="H172" s="60">
        <f t="shared" si="6"/>
        <v>1200</v>
      </c>
      <c r="I172" s="61">
        <v>1200</v>
      </c>
      <c r="J172" s="58">
        <f t="shared" si="7"/>
        <v>0</v>
      </c>
    </row>
    <row r="173" spans="1:10" ht="15">
      <c r="A173" s="26">
        <v>468663</v>
      </c>
      <c r="B173" s="44"/>
      <c r="C173" s="26" t="s">
        <v>161</v>
      </c>
      <c r="D173" s="40" t="s">
        <v>98</v>
      </c>
      <c r="E173" s="54"/>
      <c r="F173" s="58"/>
      <c r="G173" s="59">
        <v>1933.15</v>
      </c>
      <c r="H173" s="60">
        <f t="shared" si="6"/>
        <v>1933.15</v>
      </c>
      <c r="I173" s="61">
        <v>1933.15</v>
      </c>
      <c r="J173" s="58">
        <f t="shared" si="7"/>
        <v>0</v>
      </c>
    </row>
    <row r="174" spans="1:10" ht="15">
      <c r="A174" s="26">
        <v>468663</v>
      </c>
      <c r="B174" s="44"/>
      <c r="C174" s="26" t="s">
        <v>96</v>
      </c>
      <c r="D174" s="40" t="s">
        <v>98</v>
      </c>
      <c r="E174" s="54"/>
      <c r="F174" s="58"/>
      <c r="G174" s="59">
        <v>6651.46</v>
      </c>
      <c r="H174" s="60">
        <f t="shared" si="6"/>
        <v>6651.46</v>
      </c>
      <c r="I174" s="61">
        <v>6651.46</v>
      </c>
      <c r="J174" s="58">
        <f t="shared" si="7"/>
        <v>0</v>
      </c>
    </row>
    <row r="175" spans="1:10" ht="15">
      <c r="A175" s="26">
        <v>468663</v>
      </c>
      <c r="B175" s="44"/>
      <c r="C175" s="26" t="s">
        <v>95</v>
      </c>
      <c r="D175" s="40" t="s">
        <v>98</v>
      </c>
      <c r="E175" s="54"/>
      <c r="F175" s="58"/>
      <c r="G175" s="59">
        <v>57.41</v>
      </c>
      <c r="H175" s="60">
        <f t="shared" si="6"/>
        <v>57.41</v>
      </c>
      <c r="I175" s="61">
        <v>57.41</v>
      </c>
      <c r="J175" s="58">
        <f t="shared" si="7"/>
        <v>0</v>
      </c>
    </row>
    <row r="176" spans="1:10" ht="15">
      <c r="A176" s="26">
        <v>468663</v>
      </c>
      <c r="B176" s="44"/>
      <c r="C176" s="26" t="s">
        <v>181</v>
      </c>
      <c r="D176" s="40" t="s">
        <v>41</v>
      </c>
      <c r="E176" s="54"/>
      <c r="F176" s="58"/>
      <c r="G176" s="59">
        <v>13069.08</v>
      </c>
      <c r="H176" s="60">
        <f t="shared" si="6"/>
        <v>13069.08</v>
      </c>
      <c r="I176" s="61">
        <v>13069.08</v>
      </c>
      <c r="J176" s="58">
        <f t="shared" si="7"/>
        <v>0</v>
      </c>
    </row>
    <row r="177" spans="1:10" ht="15">
      <c r="A177" s="26">
        <v>468663</v>
      </c>
      <c r="B177" s="44"/>
      <c r="C177" s="26" t="s">
        <v>74</v>
      </c>
      <c r="D177" s="40" t="s">
        <v>41</v>
      </c>
      <c r="E177" s="54"/>
      <c r="F177" s="58"/>
      <c r="G177" s="59">
        <v>12780</v>
      </c>
      <c r="H177" s="60">
        <f t="shared" si="6"/>
        <v>12780</v>
      </c>
      <c r="I177" s="61">
        <v>12780</v>
      </c>
      <c r="J177" s="58">
        <f t="shared" si="7"/>
        <v>0</v>
      </c>
    </row>
    <row r="178" spans="1:10" ht="15">
      <c r="A178" s="26">
        <v>468663</v>
      </c>
      <c r="B178" s="44"/>
      <c r="C178" s="26" t="s">
        <v>180</v>
      </c>
      <c r="D178" s="40" t="s">
        <v>94</v>
      </c>
      <c r="E178" s="54"/>
      <c r="F178" s="58"/>
      <c r="G178" s="59">
        <v>400</v>
      </c>
      <c r="H178" s="60">
        <f t="shared" si="6"/>
        <v>400</v>
      </c>
      <c r="I178" s="61">
        <v>400</v>
      </c>
      <c r="J178" s="58">
        <f t="shared" si="7"/>
        <v>0</v>
      </c>
    </row>
    <row r="179" spans="1:10" ht="15">
      <c r="A179" s="26">
        <v>468663</v>
      </c>
      <c r="B179" s="44">
        <v>39073</v>
      </c>
      <c r="C179" s="26" t="s">
        <v>158</v>
      </c>
      <c r="D179" s="40" t="s">
        <v>2</v>
      </c>
      <c r="E179" s="54"/>
      <c r="F179" s="58"/>
      <c r="G179" s="59">
        <v>2420</v>
      </c>
      <c r="H179" s="60">
        <f t="shared" si="6"/>
        <v>2420</v>
      </c>
      <c r="I179" s="61"/>
      <c r="J179" s="58">
        <f t="shared" si="7"/>
        <v>2420</v>
      </c>
    </row>
    <row r="180" spans="1:10" ht="15">
      <c r="A180" s="26">
        <v>468663</v>
      </c>
      <c r="B180" s="44">
        <v>39073</v>
      </c>
      <c r="C180" s="26" t="s">
        <v>159</v>
      </c>
      <c r="D180" s="40" t="s">
        <v>2</v>
      </c>
      <c r="E180" s="54"/>
      <c r="F180" s="58"/>
      <c r="G180" s="59">
        <v>2000</v>
      </c>
      <c r="H180" s="60">
        <f t="shared" si="6"/>
        <v>2000</v>
      </c>
      <c r="I180" s="61"/>
      <c r="J180" s="58">
        <f t="shared" si="7"/>
        <v>2000</v>
      </c>
    </row>
    <row r="181" spans="1:10" ht="15">
      <c r="A181" s="26">
        <v>468663</v>
      </c>
      <c r="B181" s="44">
        <v>39052</v>
      </c>
      <c r="C181" s="26" t="s">
        <v>209</v>
      </c>
      <c r="D181" s="40" t="s">
        <v>41</v>
      </c>
      <c r="E181" s="54"/>
      <c r="F181" s="58"/>
      <c r="G181" s="59">
        <v>10.92</v>
      </c>
      <c r="H181" s="60">
        <f t="shared" si="6"/>
        <v>10.92</v>
      </c>
      <c r="I181" s="61"/>
      <c r="J181" s="58">
        <f t="shared" si="7"/>
        <v>10.92</v>
      </c>
    </row>
    <row r="182" spans="1:10" ht="15">
      <c r="A182" s="26"/>
      <c r="B182" s="44"/>
      <c r="C182" s="26"/>
      <c r="D182" s="40"/>
      <c r="E182" s="54"/>
      <c r="F182" s="58"/>
      <c r="G182" s="59"/>
      <c r="H182" s="60"/>
      <c r="I182" s="61"/>
      <c r="J182" s="58"/>
    </row>
    <row r="183" spans="1:25" ht="15">
      <c r="A183" s="26"/>
      <c r="B183" s="44"/>
      <c r="C183" s="26"/>
      <c r="D183" s="40"/>
      <c r="E183" s="54" t="s">
        <v>57</v>
      </c>
      <c r="F183" s="58">
        <f>SUM(F156:F182)</f>
        <v>1363.8200000000002</v>
      </c>
      <c r="G183" s="59">
        <f>SUM(G156:G182)</f>
        <v>51407.909999999996</v>
      </c>
      <c r="H183" s="60">
        <f>SUM(H156:H182)</f>
        <v>52771.729999999996</v>
      </c>
      <c r="I183" s="61">
        <f>SUM(I156:I182)</f>
        <v>47432.17</v>
      </c>
      <c r="J183" s="58">
        <f>SUM(J156:J182)</f>
        <v>5339.56</v>
      </c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ht="15">
      <c r="A184" s="26"/>
      <c r="B184" s="44"/>
      <c r="C184" s="26"/>
      <c r="D184" s="40"/>
      <c r="E184" s="54"/>
      <c r="F184" s="58"/>
      <c r="G184" s="59"/>
      <c r="H184" s="60"/>
      <c r="I184" s="61"/>
      <c r="J184" s="58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ht="15">
      <c r="A185" s="26">
        <v>468664</v>
      </c>
      <c r="B185" s="44">
        <v>37895</v>
      </c>
      <c r="C185" s="26" t="s">
        <v>42</v>
      </c>
      <c r="D185" s="40" t="s">
        <v>2</v>
      </c>
      <c r="E185" s="54"/>
      <c r="F185" s="58">
        <v>1471.42</v>
      </c>
      <c r="G185" s="59"/>
      <c r="H185" s="60">
        <f>SUM(F185+G185)</f>
        <v>1471.42</v>
      </c>
      <c r="I185" s="61"/>
      <c r="J185" s="58">
        <f>H185-I185</f>
        <v>1471.42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ht="15">
      <c r="A186" s="47"/>
      <c r="B186" s="44"/>
      <c r="C186" s="40"/>
      <c r="D186" s="40"/>
      <c r="E186" s="57"/>
      <c r="F186" s="60"/>
      <c r="G186" s="59"/>
      <c r="H186" s="61"/>
      <c r="I186" s="61"/>
      <c r="J186" s="58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ht="15">
      <c r="A187" s="47">
        <v>47184</v>
      </c>
      <c r="B187" s="44"/>
      <c r="C187" s="40" t="s">
        <v>145</v>
      </c>
      <c r="D187" s="40"/>
      <c r="E187" s="57"/>
      <c r="F187" s="60"/>
      <c r="G187" s="59">
        <v>204</v>
      </c>
      <c r="H187" s="61">
        <f>SUM(F187:G187)</f>
        <v>204</v>
      </c>
      <c r="I187" s="61">
        <v>204</v>
      </c>
      <c r="J187" s="58">
        <f>H187-I187</f>
        <v>0</v>
      </c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ht="15">
      <c r="A188" s="47"/>
      <c r="B188" s="44"/>
      <c r="C188" s="40" t="s">
        <v>146</v>
      </c>
      <c r="D188" s="40"/>
      <c r="E188" s="57"/>
      <c r="F188" s="60"/>
      <c r="G188" s="59">
        <v>73.76</v>
      </c>
      <c r="H188" s="61">
        <f>SUM(F188:G188)</f>
        <v>73.76</v>
      </c>
      <c r="I188" s="61">
        <v>73.76</v>
      </c>
      <c r="J188" s="58">
        <f>H188-I188</f>
        <v>0</v>
      </c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ht="15">
      <c r="A189" s="47"/>
      <c r="B189" s="44"/>
      <c r="C189" s="40" t="s">
        <v>150</v>
      </c>
      <c r="D189" s="40"/>
      <c r="E189" s="57"/>
      <c r="F189" s="60"/>
      <c r="G189" s="59">
        <v>151.2</v>
      </c>
      <c r="H189" s="61">
        <f>SUM(F189:G189)</f>
        <v>151.2</v>
      </c>
      <c r="I189" s="61">
        <v>151.2</v>
      </c>
      <c r="J189" s="58">
        <f>H189-I189</f>
        <v>0</v>
      </c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ht="15">
      <c r="A190" s="47"/>
      <c r="B190" s="44"/>
      <c r="C190" s="40" t="s">
        <v>154</v>
      </c>
      <c r="D190" s="40"/>
      <c r="E190" s="57"/>
      <c r="F190" s="60"/>
      <c r="G190" s="59">
        <v>19.67</v>
      </c>
      <c r="H190" s="61">
        <f>SUM(F190:G190)</f>
        <v>19.67</v>
      </c>
      <c r="I190" s="61">
        <v>19.67</v>
      </c>
      <c r="J190" s="58">
        <f>H190-I190</f>
        <v>0</v>
      </c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10" ht="15">
      <c r="A191" s="47"/>
      <c r="B191" s="44"/>
      <c r="C191" s="40"/>
      <c r="D191" s="40"/>
      <c r="E191" s="57"/>
      <c r="F191" s="60"/>
      <c r="G191" s="59"/>
      <c r="H191" s="61"/>
      <c r="I191" s="61"/>
      <c r="J191" s="58"/>
    </row>
    <row r="192" spans="1:10" ht="15">
      <c r="A192" s="47"/>
      <c r="B192" s="44"/>
      <c r="C192" s="40"/>
      <c r="D192" s="40"/>
      <c r="E192" s="57" t="s">
        <v>147</v>
      </c>
      <c r="F192" s="60"/>
      <c r="G192" s="59">
        <f>SUM(G187:G191)</f>
        <v>448.63</v>
      </c>
      <c r="H192" s="61">
        <f>SUM(H187:H191)</f>
        <v>448.63</v>
      </c>
      <c r="I192" s="61"/>
      <c r="J192" s="58">
        <f>SUM(J187:J191)</f>
        <v>0</v>
      </c>
    </row>
    <row r="193" spans="1:10" ht="15">
      <c r="A193" s="26"/>
      <c r="B193" s="56"/>
      <c r="C193" s="26"/>
      <c r="E193" s="54"/>
      <c r="F193" s="45"/>
      <c r="G193" s="45"/>
      <c r="H193" s="45"/>
      <c r="I193" s="45"/>
      <c r="J193" s="45"/>
    </row>
    <row r="194" spans="1:10" ht="15">
      <c r="A194" s="26"/>
      <c r="B194" s="56"/>
      <c r="C194" s="26"/>
      <c r="E194" s="54"/>
      <c r="F194" s="45"/>
      <c r="G194" s="45"/>
      <c r="H194" s="45"/>
      <c r="I194" s="45"/>
      <c r="J194" s="45"/>
    </row>
    <row r="195" spans="1:10" ht="15">
      <c r="A195" s="26"/>
      <c r="B195" s="56"/>
      <c r="C195" s="26"/>
      <c r="E195" s="54"/>
      <c r="F195" s="45"/>
      <c r="G195" s="45"/>
      <c r="H195" s="45"/>
      <c r="I195" s="45"/>
      <c r="J195" s="45"/>
    </row>
    <row r="196" spans="1:10" ht="15">
      <c r="A196" s="26"/>
      <c r="B196" s="56"/>
      <c r="C196" s="26"/>
      <c r="E196" s="54"/>
      <c r="F196" s="45"/>
      <c r="G196" s="45"/>
      <c r="H196" s="45"/>
      <c r="I196" s="45"/>
      <c r="J196" s="45"/>
    </row>
    <row r="197" spans="1:10" ht="15">
      <c r="A197" s="26"/>
      <c r="B197" s="56"/>
      <c r="C197" s="26"/>
      <c r="E197" s="54"/>
      <c r="F197" s="45"/>
      <c r="G197" s="45"/>
      <c r="H197" s="45"/>
      <c r="I197" s="45"/>
      <c r="J197" s="4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&amp;RMise à jour du &amp;D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64"/>
  <sheetViews>
    <sheetView tabSelected="1" workbookViewId="0" topLeftCell="A1">
      <selection activeCell="C9" sqref="C9"/>
    </sheetView>
  </sheetViews>
  <sheetFormatPr defaultColWidth="11.00390625" defaultRowHeight="15"/>
  <cols>
    <col min="2" max="2" width="11.00390625" style="5" customWidth="1"/>
    <col min="3" max="3" width="29.75390625" style="0" customWidth="1"/>
    <col min="4" max="4" width="15.875" style="1" customWidth="1"/>
  </cols>
  <sheetData>
    <row r="1" spans="2:4" ht="22.5">
      <c r="B1" s="7" t="s">
        <v>51</v>
      </c>
      <c r="C1" s="7"/>
      <c r="D1" s="8"/>
    </row>
    <row r="2" spans="2:4" ht="22.5">
      <c r="B2" s="7" t="s">
        <v>71</v>
      </c>
      <c r="C2" s="7"/>
      <c r="D2" s="8"/>
    </row>
    <row r="3" ht="15">
      <c r="C3" s="6"/>
    </row>
    <row r="4" spans="3:4" ht="19.5">
      <c r="C4" s="4" t="s">
        <v>44</v>
      </c>
      <c r="D4" s="1" t="s">
        <v>1</v>
      </c>
    </row>
    <row r="5" ht="15">
      <c r="C5" s="6"/>
    </row>
    <row r="8" spans="2:4" ht="15">
      <c r="B8" s="16">
        <v>37226</v>
      </c>
      <c r="C8" s="27" t="s">
        <v>8</v>
      </c>
      <c r="D8" s="17">
        <v>285.52</v>
      </c>
    </row>
    <row r="9" spans="2:4" ht="15">
      <c r="B9" s="16"/>
      <c r="C9" s="27"/>
      <c r="D9" s="17"/>
    </row>
    <row r="10" spans="2:4" ht="15">
      <c r="B10" s="16">
        <v>36678</v>
      </c>
      <c r="C10" s="27" t="s">
        <v>11</v>
      </c>
      <c r="D10" s="17">
        <v>2172.89</v>
      </c>
    </row>
    <row r="11" spans="2:4" ht="15">
      <c r="B11" s="16"/>
      <c r="C11" s="27"/>
      <c r="D11" s="17"/>
    </row>
    <row r="12" spans="2:4" ht="15">
      <c r="B12" s="16">
        <v>36678</v>
      </c>
      <c r="C12" s="27" t="s">
        <v>12</v>
      </c>
      <c r="D12" s="17">
        <v>1053.05</v>
      </c>
    </row>
    <row r="13" spans="2:4" ht="15">
      <c r="B13" s="16"/>
      <c r="C13" s="27"/>
      <c r="D13" s="17"/>
    </row>
    <row r="14" spans="2:4" ht="15">
      <c r="B14" s="16">
        <v>37256</v>
      </c>
      <c r="C14" s="27" t="s">
        <v>13</v>
      </c>
      <c r="D14" s="17">
        <v>41152.06</v>
      </c>
    </row>
    <row r="15" spans="2:4" ht="15">
      <c r="B15" s="16"/>
      <c r="C15" s="27"/>
      <c r="D15" s="17"/>
    </row>
    <row r="16" spans="2:4" ht="15">
      <c r="B16" s="16">
        <v>37256</v>
      </c>
      <c r="C16" s="27" t="s">
        <v>14</v>
      </c>
      <c r="D16" s="17">
        <v>5590.74</v>
      </c>
    </row>
    <row r="17" spans="2:4" ht="15">
      <c r="B17" s="16"/>
      <c r="C17" s="27"/>
      <c r="D17" s="17"/>
    </row>
    <row r="18" spans="2:4" ht="15">
      <c r="B18" s="16">
        <v>35034</v>
      </c>
      <c r="C18" s="27" t="s">
        <v>23</v>
      </c>
      <c r="D18" s="17">
        <v>6679.4</v>
      </c>
    </row>
    <row r="19" spans="2:4" ht="15">
      <c r="B19" s="16">
        <v>36342</v>
      </c>
      <c r="C19" s="27" t="s">
        <v>15</v>
      </c>
      <c r="D19" s="17">
        <v>391.39</v>
      </c>
    </row>
    <row r="20" spans="2:4" ht="15">
      <c r="B20" s="16">
        <v>36404</v>
      </c>
      <c r="C20" s="27" t="s">
        <v>16</v>
      </c>
      <c r="D20" s="17">
        <v>1905.61</v>
      </c>
    </row>
    <row r="21" spans="2:4" ht="15">
      <c r="B21" s="16">
        <v>36831</v>
      </c>
      <c r="C21" s="27" t="s">
        <v>33</v>
      </c>
      <c r="D21" s="17">
        <v>3223.83</v>
      </c>
    </row>
    <row r="22" spans="2:4" ht="15">
      <c r="B22" s="16">
        <v>36831</v>
      </c>
      <c r="C22" s="27" t="s">
        <v>47</v>
      </c>
      <c r="D22" s="17">
        <v>552.17</v>
      </c>
    </row>
    <row r="23" spans="2:4" ht="15">
      <c r="B23" s="16">
        <v>36861</v>
      </c>
      <c r="C23" s="27" t="s">
        <v>49</v>
      </c>
      <c r="D23" s="17">
        <v>1366.28</v>
      </c>
    </row>
    <row r="24" spans="2:4" ht="15">
      <c r="B24" s="16">
        <v>36861</v>
      </c>
      <c r="C24" s="27" t="s">
        <v>70</v>
      </c>
      <c r="D24" s="17">
        <v>1951.35</v>
      </c>
    </row>
    <row r="25" spans="2:4" ht="15">
      <c r="B25" s="16">
        <v>36861</v>
      </c>
      <c r="C25" s="27" t="s">
        <v>48</v>
      </c>
      <c r="D25" s="17">
        <v>985</v>
      </c>
    </row>
    <row r="26" spans="2:4" ht="15">
      <c r="B26" s="16">
        <v>37200</v>
      </c>
      <c r="C26" s="27" t="s">
        <v>53</v>
      </c>
      <c r="D26" s="17">
        <v>807.98</v>
      </c>
    </row>
    <row r="27" spans="2:4" ht="15">
      <c r="B27" s="16"/>
      <c r="C27" s="27"/>
      <c r="D27" s="17"/>
    </row>
    <row r="28" spans="2:4" ht="15">
      <c r="B28" s="16">
        <v>36161</v>
      </c>
      <c r="C28" s="27" t="s">
        <v>28</v>
      </c>
      <c r="D28" s="17">
        <v>8296.27</v>
      </c>
    </row>
    <row r="29" spans="2:4" ht="15">
      <c r="B29" s="16"/>
      <c r="C29" s="27"/>
      <c r="D29" s="17"/>
    </row>
    <row r="30" spans="2:4" ht="15">
      <c r="B30" s="16">
        <v>35765</v>
      </c>
      <c r="C30" s="27" t="s">
        <v>29</v>
      </c>
      <c r="D30" s="17">
        <v>694.7</v>
      </c>
    </row>
    <row r="31" spans="2:4" ht="15">
      <c r="B31" s="16">
        <v>37424</v>
      </c>
      <c r="C31" s="27" t="s">
        <v>30</v>
      </c>
      <c r="D31" s="17">
        <v>29213.75</v>
      </c>
    </row>
    <row r="32" spans="2:4" ht="15">
      <c r="B32" s="16">
        <v>36952</v>
      </c>
      <c r="C32" s="27" t="s">
        <v>54</v>
      </c>
      <c r="D32" s="17">
        <v>1603.14</v>
      </c>
    </row>
    <row r="33" spans="2:4" ht="15">
      <c r="B33" s="16">
        <v>37251</v>
      </c>
      <c r="C33" s="27" t="s">
        <v>55</v>
      </c>
      <c r="D33" s="17">
        <v>2577.28</v>
      </c>
    </row>
    <row r="34" spans="2:4" ht="15">
      <c r="B34" s="16">
        <v>37350</v>
      </c>
      <c r="C34" s="27" t="s">
        <v>56</v>
      </c>
      <c r="D34" s="17">
        <v>14870.61</v>
      </c>
    </row>
    <row r="35" spans="2:4" ht="15">
      <c r="B35" s="16">
        <v>37393</v>
      </c>
      <c r="C35" s="27" t="s">
        <v>63</v>
      </c>
      <c r="D35" s="17">
        <v>9587.42</v>
      </c>
    </row>
    <row r="36" spans="2:4" ht="15">
      <c r="B36" s="16">
        <v>37350</v>
      </c>
      <c r="C36" s="27" t="s">
        <v>62</v>
      </c>
      <c r="D36" s="17">
        <v>3721.81</v>
      </c>
    </row>
    <row r="37" spans="2:4" ht="15">
      <c r="B37" s="16">
        <v>37560</v>
      </c>
      <c r="C37" s="42" t="s">
        <v>64</v>
      </c>
      <c r="D37" s="17">
        <v>2000</v>
      </c>
    </row>
    <row r="38" spans="2:4" ht="15">
      <c r="B38" s="16">
        <v>37613</v>
      </c>
      <c r="C38" s="42" t="s">
        <v>69</v>
      </c>
      <c r="D38" s="17">
        <v>504.5</v>
      </c>
    </row>
    <row r="39" spans="2:4" ht="15">
      <c r="B39" s="16"/>
      <c r="C39" s="27"/>
      <c r="D39" s="17"/>
    </row>
    <row r="40" spans="2:4" ht="15">
      <c r="B40" s="16"/>
      <c r="C40" s="27" t="s">
        <v>34</v>
      </c>
      <c r="D40" s="17">
        <v>13542.33</v>
      </c>
    </row>
    <row r="41" spans="2:4" ht="15">
      <c r="B41" s="16"/>
      <c r="C41" s="27"/>
      <c r="D41" s="17"/>
    </row>
    <row r="42" spans="2:4" ht="15">
      <c r="B42" s="16"/>
      <c r="C42" s="27" t="s">
        <v>38</v>
      </c>
      <c r="D42" s="17">
        <v>681.26</v>
      </c>
    </row>
    <row r="43" spans="2:4" ht="15">
      <c r="B43" s="16"/>
      <c r="C43" s="27"/>
      <c r="D43" s="17"/>
    </row>
    <row r="44" spans="2:4" ht="16.5">
      <c r="B44" s="16">
        <v>35400</v>
      </c>
      <c r="C44" s="27" t="s">
        <v>39</v>
      </c>
      <c r="D44" s="34">
        <v>534.12</v>
      </c>
    </row>
    <row r="45" spans="2:4" ht="15">
      <c r="B45" s="16"/>
      <c r="C45" s="27"/>
      <c r="D45" s="17"/>
    </row>
    <row r="46" spans="2:4" ht="16.5">
      <c r="B46" s="16">
        <v>36708</v>
      </c>
      <c r="C46" s="41" t="s">
        <v>20</v>
      </c>
      <c r="D46" s="17">
        <v>109.29</v>
      </c>
    </row>
    <row r="47" spans="2:4" ht="16.5">
      <c r="B47" s="16">
        <v>36948</v>
      </c>
      <c r="C47" s="41" t="s">
        <v>21</v>
      </c>
      <c r="D47" s="17">
        <v>110.96</v>
      </c>
    </row>
    <row r="48" spans="2:4" ht="15">
      <c r="B48" s="16">
        <v>36495</v>
      </c>
      <c r="C48" s="27" t="s">
        <v>18</v>
      </c>
      <c r="D48" s="17">
        <v>229.11</v>
      </c>
    </row>
    <row r="49" spans="2:4" ht="15">
      <c r="B49" s="16">
        <v>36495</v>
      </c>
      <c r="C49" s="27" t="s">
        <v>17</v>
      </c>
      <c r="D49" s="17">
        <v>245.61</v>
      </c>
    </row>
    <row r="50" spans="2:4" ht="15">
      <c r="B50" s="16">
        <v>37251</v>
      </c>
      <c r="C50" s="27" t="s">
        <v>22</v>
      </c>
      <c r="D50" s="17">
        <v>1374.59</v>
      </c>
    </row>
    <row r="51" spans="2:4" ht="15">
      <c r="B51" s="16">
        <v>37173</v>
      </c>
      <c r="C51" s="6" t="s">
        <v>58</v>
      </c>
      <c r="D51" s="17">
        <v>73.79000000000008</v>
      </c>
    </row>
    <row r="52" spans="2:4" ht="15">
      <c r="B52" s="16">
        <v>37256</v>
      </c>
      <c r="C52" s="6" t="s">
        <v>59</v>
      </c>
      <c r="D52" s="17">
        <v>398.02</v>
      </c>
    </row>
    <row r="53" spans="2:4" ht="15">
      <c r="B53" s="16">
        <v>37315</v>
      </c>
      <c r="C53" s="6" t="s">
        <v>60</v>
      </c>
      <c r="D53" s="17">
        <v>1219.59</v>
      </c>
    </row>
    <row r="54" spans="2:4" ht="15">
      <c r="B54" s="16">
        <v>37515</v>
      </c>
      <c r="C54" s="6" t="s">
        <v>66</v>
      </c>
      <c r="D54" s="17">
        <v>915</v>
      </c>
    </row>
    <row r="55" spans="2:4" ht="15">
      <c r="B55" s="16">
        <v>37545</v>
      </c>
      <c r="C55" s="6" t="s">
        <v>67</v>
      </c>
      <c r="D55" s="17">
        <v>610</v>
      </c>
    </row>
    <row r="56" spans="2:4" ht="15">
      <c r="B56" s="16">
        <v>37576</v>
      </c>
      <c r="C56" s="6" t="s">
        <v>68</v>
      </c>
      <c r="D56" s="17">
        <v>765</v>
      </c>
    </row>
    <row r="57" spans="2:4" ht="15">
      <c r="B57" s="16">
        <v>37550</v>
      </c>
      <c r="C57" s="43" t="s">
        <v>65</v>
      </c>
      <c r="D57" s="17">
        <v>2750</v>
      </c>
    </row>
    <row r="58" spans="2:4" ht="15">
      <c r="B58" s="16"/>
      <c r="C58" s="43"/>
      <c r="D58" s="17"/>
    </row>
    <row r="59" spans="2:4" ht="15">
      <c r="B59" s="16">
        <v>36495</v>
      </c>
      <c r="C59" s="27" t="s">
        <v>19</v>
      </c>
      <c r="D59" s="17">
        <v>755.49</v>
      </c>
    </row>
    <row r="60" spans="2:4" ht="15">
      <c r="B60" s="16">
        <v>36495</v>
      </c>
      <c r="C60" s="27" t="s">
        <v>40</v>
      </c>
      <c r="D60" s="17">
        <v>582.06</v>
      </c>
    </row>
    <row r="61" spans="2:4" ht="15">
      <c r="B61" s="16">
        <v>35765</v>
      </c>
      <c r="C61" s="27" t="s">
        <v>24</v>
      </c>
      <c r="D61" s="17">
        <v>375.44</v>
      </c>
    </row>
    <row r="62" spans="2:4" ht="15">
      <c r="B62" s="16">
        <v>36312</v>
      </c>
      <c r="C62" s="27" t="s">
        <v>25</v>
      </c>
      <c r="D62" s="17">
        <v>720.32</v>
      </c>
    </row>
    <row r="63" spans="2:4" ht="15">
      <c r="B63" s="16"/>
      <c r="C63" s="27"/>
      <c r="D63" s="17"/>
    </row>
    <row r="64" spans="2:3" ht="15">
      <c r="B64" s="16"/>
      <c r="C64" s="27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Joliot Curie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Bernard</cp:lastModifiedBy>
  <cp:lastPrinted>2007-10-18T11:26:27Z</cp:lastPrinted>
  <dcterms:created xsi:type="dcterms:W3CDTF">2000-11-22T10:39:24Z</dcterms:created>
  <dcterms:modified xsi:type="dcterms:W3CDTF">2007-11-18T21:50:12Z</dcterms:modified>
  <cp:category/>
  <cp:version/>
  <cp:contentType/>
  <cp:contentStatus/>
</cp:coreProperties>
</file>